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cherbort\Desktop\"/>
    </mc:Choice>
  </mc:AlternateContent>
  <workbookProtection workbookAlgorithmName="SHA-512" workbookHashValue="8tX6cQDFY4TF+y86C/eb8JnEeQ0LUsQRLgstrF6IvSGXEh2zTjgXE1fAVQUQe9TYWBNdWxIyZ5DqOv+Nq2C+LQ==" workbookSaltValue="8IxO/gSZqS/fIqp6m4YFqw==" workbookSpinCount="100000" lockStructure="1"/>
  <bookViews>
    <workbookView xWindow="0" yWindow="0" windowWidth="28800" windowHeight="12300"/>
  </bookViews>
  <sheets>
    <sheet name="Perpetual Pricing" sheetId="3" r:id="rId1"/>
    <sheet name="BASE" sheetId="1" state="hidden" r:id="rId2"/>
    <sheet name="XE" sheetId="2" state="hidden" r:id="rId3"/>
    <sheet name="Perpetual Pricing (2)" sheetId="7" state="hidden" r:id="rId4"/>
    <sheet name="PARTNERPROGRAM" sheetId="6" state="hidden" r:id="rId5"/>
    <sheet name="Phrasing" sheetId="5" state="hidden" r:id="rId6"/>
  </sheets>
  <definedNames>
    <definedName name="_xlnm.Print_Area" localSheetId="1">BASE!$A$1:$K$354</definedName>
    <definedName name="_xlnm.Print_Area" localSheetId="0">'Perpetual Pricing'!$A$1:$K$355</definedName>
    <definedName name="_xlnm.Print_Area" localSheetId="3">'Perpetual Pricing (2)'!$A$1:$D$119</definedName>
    <definedName name="_xlnm.Print_Area" localSheetId="5">Phrasing!$A$2:$A$154</definedName>
    <definedName name="Z_61E95A56_DF17_4776_932B_CA2E16961691_.wvu.Rows" localSheetId="1">BASE!$11288:$23287</definedName>
    <definedName name="Z_61E95A56_DF17_4776_932B_CA2E16961691_.wvu.Rows" localSheetId="0">'Perpetual Pricing'!$11289:$23288</definedName>
    <definedName name="Z_61E95A56_DF17_4776_932B_CA2E16961691_.wvu.Rows" localSheetId="3">'Perpetual Pricing (2)'!$10877:$22876</definedName>
    <definedName name="Z_61E95A56_DF17_4776_932B_CA2E16961691_.wvu.Rows" localSheetId="5">Phrasing!$10616:$22615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 l="1"/>
  <c r="A318" i="7" l="1"/>
  <c r="A255" i="7"/>
  <c r="A192" i="7"/>
  <c r="A119" i="7"/>
  <c r="A317" i="7"/>
  <c r="A254" i="7"/>
  <c r="A191" i="7"/>
  <c r="A118" i="7"/>
  <c r="A316" i="7"/>
  <c r="A253" i="7"/>
  <c r="A190" i="7"/>
  <c r="A117" i="7"/>
  <c r="A116" i="7"/>
  <c r="B116" i="7"/>
  <c r="A115" i="7"/>
  <c r="B115" i="7"/>
  <c r="A114" i="7"/>
  <c r="B114" i="7"/>
  <c r="A113" i="7"/>
  <c r="B113" i="7"/>
  <c r="A112" i="7"/>
  <c r="A111" i="7"/>
  <c r="A110" i="7"/>
  <c r="A109" i="7"/>
  <c r="A108" i="7"/>
  <c r="A315" i="7"/>
  <c r="A107" i="7"/>
  <c r="A314" i="7"/>
  <c r="A106" i="7"/>
  <c r="A313" i="7"/>
  <c r="A105" i="7"/>
  <c r="A312" i="7"/>
  <c r="A104" i="7"/>
  <c r="A311" i="7"/>
  <c r="A252" i="7"/>
  <c r="A189" i="7"/>
  <c r="A103" i="7"/>
  <c r="A310" i="7"/>
  <c r="A251" i="7"/>
  <c r="A188" i="7"/>
  <c r="A102" i="7"/>
  <c r="A309" i="7"/>
  <c r="A101" i="7"/>
  <c r="A308" i="7"/>
  <c r="A100" i="7"/>
  <c r="A307" i="7"/>
  <c r="A250" i="7"/>
  <c r="A187" i="7"/>
  <c r="A99" i="7"/>
  <c r="A306" i="7"/>
  <c r="A249" i="7"/>
  <c r="A186" i="7"/>
  <c r="A98" i="7"/>
  <c r="A305" i="7"/>
  <c r="A248" i="7"/>
  <c r="A185" i="7"/>
  <c r="A97" i="7"/>
  <c r="A304" i="7"/>
  <c r="A247" i="7"/>
  <c r="A184" i="7"/>
  <c r="A96" i="7"/>
  <c r="A303" i="7"/>
  <c r="A246" i="7"/>
  <c r="A183" i="7"/>
  <c r="A95" i="7"/>
  <c r="A302" i="7"/>
  <c r="A245" i="7"/>
  <c r="A182" i="7"/>
  <c r="A94" i="7"/>
  <c r="A301" i="7"/>
  <c r="A244" i="7"/>
  <c r="A181" i="7"/>
  <c r="A93" i="7"/>
  <c r="A300" i="7"/>
  <c r="A243" i="7"/>
  <c r="A180" i="7"/>
  <c r="A92" i="7"/>
  <c r="A299" i="7"/>
  <c r="A242" i="7"/>
  <c r="A179" i="7"/>
  <c r="A91" i="7"/>
  <c r="A298" i="7"/>
  <c r="A241" i="7"/>
  <c r="A178" i="7"/>
  <c r="A90" i="7"/>
  <c r="A297" i="7"/>
  <c r="A240" i="7"/>
  <c r="A177" i="7"/>
  <c r="A89" i="7"/>
  <c r="A239" i="7"/>
  <c r="A176" i="7"/>
  <c r="A88" i="7"/>
  <c r="A87" i="7"/>
  <c r="A175" i="7"/>
  <c r="A86" i="7"/>
  <c r="A174" i="7"/>
  <c r="A85" i="7"/>
  <c r="A173" i="7"/>
  <c r="A84" i="7"/>
  <c r="A172" i="7"/>
  <c r="A83" i="7"/>
  <c r="A171" i="7"/>
  <c r="A82" i="7"/>
  <c r="A81" i="7"/>
  <c r="A170" i="7"/>
  <c r="A80" i="7"/>
  <c r="A169" i="7"/>
  <c r="A79" i="7"/>
  <c r="A168" i="7"/>
  <c r="A78" i="7"/>
  <c r="A167" i="7"/>
  <c r="A77" i="7"/>
  <c r="A166" i="7"/>
  <c r="A76" i="7"/>
  <c r="A75" i="7"/>
  <c r="A74" i="7"/>
  <c r="A73" i="7"/>
  <c r="A72" i="7"/>
  <c r="A238" i="7"/>
  <c r="A165" i="7"/>
  <c r="A71" i="7"/>
  <c r="A296" i="7"/>
  <c r="A237" i="7"/>
  <c r="A164" i="7"/>
  <c r="A70" i="7"/>
  <c r="A295" i="7"/>
  <c r="A236" i="7"/>
  <c r="A163" i="7"/>
  <c r="A69" i="7"/>
  <c r="A294" i="7"/>
  <c r="A235" i="7"/>
  <c r="A162" i="7"/>
  <c r="A68" i="7"/>
  <c r="A234" i="7"/>
  <c r="A161" i="7"/>
  <c r="A67" i="7"/>
  <c r="A66" i="7"/>
  <c r="A293" i="7"/>
  <c r="A233" i="7"/>
  <c r="A160" i="7"/>
  <c r="A292" i="7"/>
  <c r="A232" i="7"/>
  <c r="A159" i="7"/>
  <c r="A65" i="7"/>
  <c r="A64" i="7"/>
  <c r="A63" i="7"/>
  <c r="A62" i="7"/>
  <c r="A61" i="7"/>
  <c r="A60" i="7"/>
  <c r="A59" i="7"/>
  <c r="A291" i="7"/>
  <c r="A231" i="7"/>
  <c r="A158" i="7"/>
  <c r="A58" i="7"/>
  <c r="A290" i="7"/>
  <c r="A230" i="7"/>
  <c r="A157" i="7"/>
  <c r="A57" i="7"/>
  <c r="A289" i="7"/>
  <c r="A229" i="7"/>
  <c r="A156" i="7"/>
  <c r="A56" i="7"/>
  <c r="A288" i="7"/>
  <c r="A228" i="7"/>
  <c r="A155" i="7"/>
  <c r="A55" i="7"/>
  <c r="A287" i="7"/>
  <c r="A227" i="7"/>
  <c r="A154" i="7"/>
  <c r="A54" i="7"/>
  <c r="A286" i="7"/>
  <c r="A226" i="7"/>
  <c r="A153" i="7"/>
  <c r="A53" i="7"/>
  <c r="A285" i="7"/>
  <c r="A225" i="7"/>
  <c r="A152" i="7"/>
  <c r="A52" i="7"/>
  <c r="A224" i="7"/>
  <c r="A151" i="7"/>
  <c r="A51" i="7"/>
  <c r="A50" i="7"/>
  <c r="A49" i="7"/>
  <c r="A48" i="7"/>
  <c r="A47" i="7"/>
  <c r="A46" i="7"/>
  <c r="A45" i="7"/>
  <c r="A284" i="7"/>
  <c r="A223" i="7"/>
  <c r="A150" i="7"/>
  <c r="A283" i="7"/>
  <c r="A222" i="7"/>
  <c r="A149" i="7"/>
  <c r="A282" i="7"/>
  <c r="A221" i="7"/>
  <c r="A148" i="7"/>
  <c r="A281" i="7"/>
  <c r="A220" i="7"/>
  <c r="A147" i="7"/>
  <c r="A280" i="7"/>
  <c r="A219" i="7"/>
  <c r="A146" i="7"/>
  <c r="A44" i="7"/>
  <c r="A279" i="7"/>
  <c r="A218" i="7"/>
  <c r="A145" i="7"/>
  <c r="A43" i="7"/>
  <c r="A278" i="7"/>
  <c r="A217" i="7"/>
  <c r="A144" i="7"/>
  <c r="A42" i="7"/>
  <c r="A277" i="7"/>
  <c r="A216" i="7"/>
  <c r="A143" i="7"/>
  <c r="A276" i="7"/>
  <c r="A215" i="7"/>
  <c r="A142" i="7"/>
  <c r="A275" i="7"/>
  <c r="A214" i="7"/>
  <c r="A141" i="7"/>
  <c r="A274" i="7"/>
  <c r="A213" i="7"/>
  <c r="A140" i="7"/>
  <c r="A273" i="7"/>
  <c r="A212" i="7"/>
  <c r="A139" i="7"/>
  <c r="A41" i="7"/>
  <c r="A272" i="7"/>
  <c r="A211" i="7"/>
  <c r="A138" i="7"/>
  <c r="A40" i="7"/>
  <c r="A271" i="7"/>
  <c r="A210" i="7"/>
  <c r="A137" i="7"/>
  <c r="A39" i="7"/>
  <c r="A38" i="7"/>
  <c r="A37" i="7"/>
  <c r="A36" i="7"/>
  <c r="A270" i="7"/>
  <c r="A209" i="7"/>
  <c r="A136" i="7"/>
  <c r="A35" i="7"/>
  <c r="A269" i="7"/>
  <c r="A208" i="7"/>
  <c r="A135" i="7"/>
  <c r="A34" i="7"/>
  <c r="A33" i="7"/>
  <c r="A32" i="7"/>
  <c r="A31" i="7"/>
  <c r="A30" i="7"/>
  <c r="A207" i="7"/>
  <c r="A134" i="7"/>
  <c r="A29" i="7"/>
  <c r="A268" i="7"/>
  <c r="A206" i="7"/>
  <c r="A133" i="7"/>
  <c r="A28" i="7"/>
  <c r="A267" i="7"/>
  <c r="A205" i="7"/>
  <c r="A132" i="7"/>
  <c r="A27" i="7"/>
  <c r="A266" i="7"/>
  <c r="A204" i="7"/>
  <c r="A131" i="7"/>
  <c r="A26" i="7"/>
  <c r="A203" i="7"/>
  <c r="A130" i="7"/>
  <c r="A25" i="7"/>
  <c r="A24" i="7"/>
  <c r="A265" i="7"/>
  <c r="A202" i="7"/>
  <c r="A129" i="7"/>
  <c r="A264" i="7"/>
  <c r="A201" i="7"/>
  <c r="A128" i="7"/>
  <c r="A23" i="7"/>
  <c r="A22" i="7"/>
  <c r="A21" i="7"/>
  <c r="A20" i="7"/>
  <c r="A19" i="7"/>
  <c r="A18" i="7"/>
  <c r="A17" i="7"/>
  <c r="A16" i="7"/>
  <c r="A15" i="7"/>
  <c r="A263" i="7"/>
  <c r="A200" i="7"/>
  <c r="A127" i="7"/>
  <c r="A14" i="7"/>
  <c r="A262" i="7"/>
  <c r="A199" i="7"/>
  <c r="A126" i="7"/>
  <c r="A13" i="7"/>
  <c r="A261" i="7"/>
  <c r="A198" i="7"/>
  <c r="A125" i="7"/>
  <c r="A12" i="7"/>
  <c r="A260" i="7"/>
  <c r="A197" i="7"/>
  <c r="A124" i="7"/>
  <c r="A11" i="7"/>
  <c r="A259" i="7"/>
  <c r="A196" i="7"/>
  <c r="A123" i="7"/>
  <c r="A10" i="7"/>
  <c r="A258" i="7"/>
  <c r="A195" i="7"/>
  <c r="A122" i="7"/>
  <c r="A9" i="7"/>
  <c r="A257" i="7"/>
  <c r="A194" i="7"/>
  <c r="A121" i="7"/>
  <c r="A8" i="7"/>
  <c r="A256" i="7"/>
  <c r="A193" i="7"/>
  <c r="A120" i="7"/>
  <c r="A7" i="7"/>
  <c r="A6" i="7"/>
  <c r="B6" i="7"/>
  <c r="B5" i="7"/>
  <c r="D4" i="7"/>
  <c r="C4" i="7"/>
  <c r="A1" i="7"/>
  <c r="E31" i="2"/>
  <c r="C8" i="7" l="1"/>
  <c r="C12" i="7"/>
  <c r="C16" i="7"/>
  <c r="C20" i="7"/>
  <c r="C24" i="7"/>
  <c r="C28" i="7"/>
  <c r="C32" i="7"/>
  <c r="C36" i="7"/>
  <c r="C40" i="7"/>
  <c r="C44" i="7"/>
  <c r="C48" i="7"/>
  <c r="C52" i="7"/>
  <c r="C56" i="7"/>
  <c r="C60" i="7"/>
  <c r="C64" i="7"/>
  <c r="C68" i="7"/>
  <c r="C72" i="7"/>
  <c r="C76" i="7"/>
  <c r="C80" i="7"/>
  <c r="C84" i="7"/>
  <c r="C88" i="7"/>
  <c r="C92" i="7"/>
  <c r="C96" i="7"/>
  <c r="C100" i="7"/>
  <c r="C104" i="7"/>
  <c r="C108" i="7"/>
  <c r="C112" i="7"/>
  <c r="C116" i="7"/>
  <c r="C120" i="7"/>
  <c r="C124" i="7"/>
  <c r="C128" i="7"/>
  <c r="C132" i="7"/>
  <c r="C136" i="7"/>
  <c r="C140" i="7"/>
  <c r="C144" i="7"/>
  <c r="C148" i="7"/>
  <c r="C152" i="7"/>
  <c r="C156" i="7"/>
  <c r="C160" i="7"/>
  <c r="C164" i="7"/>
  <c r="C168" i="7"/>
  <c r="C172" i="7"/>
  <c r="C176" i="7"/>
  <c r="C180" i="7"/>
  <c r="C184" i="7"/>
  <c r="C188" i="7"/>
  <c r="C192" i="7"/>
  <c r="C196" i="7"/>
  <c r="C200" i="7"/>
  <c r="C204" i="7"/>
  <c r="C208" i="7"/>
  <c r="C212" i="7"/>
  <c r="C216" i="7"/>
  <c r="C220" i="7"/>
  <c r="C224" i="7"/>
  <c r="C228" i="7"/>
  <c r="C232" i="7"/>
  <c r="C236" i="7"/>
  <c r="C240" i="7"/>
  <c r="C244" i="7"/>
  <c r="C248" i="7"/>
  <c r="C252" i="7"/>
  <c r="C256" i="7"/>
  <c r="C260" i="7"/>
  <c r="C264" i="7"/>
  <c r="C268" i="7"/>
  <c r="C272" i="7"/>
  <c r="C276" i="7"/>
  <c r="C280" i="7"/>
  <c r="C284" i="7"/>
  <c r="C288" i="7"/>
  <c r="C292" i="7"/>
  <c r="C296" i="7"/>
  <c r="C300" i="7"/>
  <c r="C304" i="7"/>
  <c r="C308" i="7"/>
  <c r="C312" i="7"/>
  <c r="C316" i="7"/>
  <c r="C19" i="7"/>
  <c r="C23" i="7"/>
  <c r="C31" i="7"/>
  <c r="C43" i="7"/>
  <c r="C55" i="7"/>
  <c r="C67" i="7"/>
  <c r="C79" i="7"/>
  <c r="C9" i="7"/>
  <c r="C13" i="7"/>
  <c r="C17" i="7"/>
  <c r="C21" i="7"/>
  <c r="C25" i="7"/>
  <c r="C29" i="7"/>
  <c r="C33" i="7"/>
  <c r="C37" i="7"/>
  <c r="C41" i="7"/>
  <c r="C45" i="7"/>
  <c r="C49" i="7"/>
  <c r="C53" i="7"/>
  <c r="C57" i="7"/>
  <c r="C61" i="7"/>
  <c r="C65" i="7"/>
  <c r="C69" i="7"/>
  <c r="C73" i="7"/>
  <c r="C77" i="7"/>
  <c r="C81" i="7"/>
  <c r="C85" i="7"/>
  <c r="C89" i="7"/>
  <c r="C93" i="7"/>
  <c r="C97" i="7"/>
  <c r="C101" i="7"/>
  <c r="C105" i="7"/>
  <c r="C109" i="7"/>
  <c r="C113" i="7"/>
  <c r="C117" i="7"/>
  <c r="C121" i="7"/>
  <c r="C125" i="7"/>
  <c r="C129" i="7"/>
  <c r="C133" i="7"/>
  <c r="C137" i="7"/>
  <c r="C141" i="7"/>
  <c r="C145" i="7"/>
  <c r="C149" i="7"/>
  <c r="C153" i="7"/>
  <c r="C157" i="7"/>
  <c r="C161" i="7"/>
  <c r="C165" i="7"/>
  <c r="C169" i="7"/>
  <c r="C173" i="7"/>
  <c r="C177" i="7"/>
  <c r="C181" i="7"/>
  <c r="C185" i="7"/>
  <c r="C189" i="7"/>
  <c r="C193" i="7"/>
  <c r="C197" i="7"/>
  <c r="C201" i="7"/>
  <c r="C205" i="7"/>
  <c r="C209" i="7"/>
  <c r="C213" i="7"/>
  <c r="C217" i="7"/>
  <c r="C221" i="7"/>
  <c r="C225" i="7"/>
  <c r="C229" i="7"/>
  <c r="C233" i="7"/>
  <c r="C237" i="7"/>
  <c r="C241" i="7"/>
  <c r="C245" i="7"/>
  <c r="C249" i="7"/>
  <c r="C253" i="7"/>
  <c r="C257" i="7"/>
  <c r="C261" i="7"/>
  <c r="C265" i="7"/>
  <c r="C269" i="7"/>
  <c r="C273" i="7"/>
  <c r="C277" i="7"/>
  <c r="C281" i="7"/>
  <c r="C285" i="7"/>
  <c r="C289" i="7"/>
  <c r="C293" i="7"/>
  <c r="C297" i="7"/>
  <c r="C301" i="7"/>
  <c r="C305" i="7"/>
  <c r="C309" i="7"/>
  <c r="C313" i="7"/>
  <c r="C317" i="7"/>
  <c r="C15" i="7"/>
  <c r="C35" i="7"/>
  <c r="C47" i="7"/>
  <c r="C59" i="7"/>
  <c r="C71" i="7"/>
  <c r="C83" i="7"/>
  <c r="C10" i="7"/>
  <c r="C14" i="7"/>
  <c r="C18" i="7"/>
  <c r="C22" i="7"/>
  <c r="C26" i="7"/>
  <c r="C30" i="7"/>
  <c r="C34" i="7"/>
  <c r="C38" i="7"/>
  <c r="C42" i="7"/>
  <c r="C46" i="7"/>
  <c r="C50" i="7"/>
  <c r="C54" i="7"/>
  <c r="C58" i="7"/>
  <c r="C62" i="7"/>
  <c r="C66" i="7"/>
  <c r="C70" i="7"/>
  <c r="C74" i="7"/>
  <c r="C78" i="7"/>
  <c r="C82" i="7"/>
  <c r="C86" i="7"/>
  <c r="C90" i="7"/>
  <c r="C94" i="7"/>
  <c r="C98" i="7"/>
  <c r="C102" i="7"/>
  <c r="C106" i="7"/>
  <c r="C110" i="7"/>
  <c r="C114" i="7"/>
  <c r="C118" i="7"/>
  <c r="C122" i="7"/>
  <c r="C126" i="7"/>
  <c r="C130" i="7"/>
  <c r="C134" i="7"/>
  <c r="C138" i="7"/>
  <c r="C142" i="7"/>
  <c r="C146" i="7"/>
  <c r="C150" i="7"/>
  <c r="C154" i="7"/>
  <c r="C158" i="7"/>
  <c r="C162" i="7"/>
  <c r="C166" i="7"/>
  <c r="C170" i="7"/>
  <c r="C174" i="7"/>
  <c r="C178" i="7"/>
  <c r="C182" i="7"/>
  <c r="C186" i="7"/>
  <c r="C190" i="7"/>
  <c r="C194" i="7"/>
  <c r="C198" i="7"/>
  <c r="C202" i="7"/>
  <c r="C206" i="7"/>
  <c r="C210" i="7"/>
  <c r="C214" i="7"/>
  <c r="C218" i="7"/>
  <c r="C222" i="7"/>
  <c r="C226" i="7"/>
  <c r="C230" i="7"/>
  <c r="C234" i="7"/>
  <c r="C238" i="7"/>
  <c r="C242" i="7"/>
  <c r="C246" i="7"/>
  <c r="C250" i="7"/>
  <c r="C254" i="7"/>
  <c r="C258" i="7"/>
  <c r="C262" i="7"/>
  <c r="C266" i="7"/>
  <c r="C270" i="7"/>
  <c r="C274" i="7"/>
  <c r="C278" i="7"/>
  <c r="C282" i="7"/>
  <c r="C286" i="7"/>
  <c r="C290" i="7"/>
  <c r="C294" i="7"/>
  <c r="C298" i="7"/>
  <c r="C302" i="7"/>
  <c r="C306" i="7"/>
  <c r="C310" i="7"/>
  <c r="C314" i="7"/>
  <c r="C318" i="7"/>
  <c r="C11" i="7"/>
  <c r="C27" i="7"/>
  <c r="C39" i="7"/>
  <c r="C51" i="7"/>
  <c r="C63" i="7"/>
  <c r="C75" i="7"/>
  <c r="C87" i="7"/>
  <c r="C91" i="7"/>
  <c r="C107" i="7"/>
  <c r="C123" i="7"/>
  <c r="C139" i="7"/>
  <c r="C155" i="7"/>
  <c r="C171" i="7"/>
  <c r="C187" i="7"/>
  <c r="C203" i="7"/>
  <c r="C219" i="7"/>
  <c r="C235" i="7"/>
  <c r="C251" i="7"/>
  <c r="C267" i="7"/>
  <c r="C283" i="7"/>
  <c r="C287" i="7"/>
  <c r="C95" i="7"/>
  <c r="C111" i="7"/>
  <c r="C127" i="7"/>
  <c r="C143" i="7"/>
  <c r="C159" i="7"/>
  <c r="C175" i="7"/>
  <c r="C191" i="7"/>
  <c r="C207" i="7"/>
  <c r="C223" i="7"/>
  <c r="C239" i="7"/>
  <c r="C271" i="7"/>
  <c r="C7" i="7"/>
  <c r="C99" i="7"/>
  <c r="C115" i="7"/>
  <c r="C131" i="7"/>
  <c r="C147" i="7"/>
  <c r="C163" i="7"/>
  <c r="C179" i="7"/>
  <c r="C195" i="7"/>
  <c r="C211" i="7"/>
  <c r="C227" i="7"/>
  <c r="C243" i="7"/>
  <c r="C259" i="7"/>
  <c r="C275" i="7"/>
  <c r="C291" i="7"/>
  <c r="C307" i="7"/>
  <c r="C103" i="7"/>
  <c r="C119" i="7"/>
  <c r="C135" i="7"/>
  <c r="C151" i="7"/>
  <c r="C167" i="7"/>
  <c r="C183" i="7"/>
  <c r="C199" i="7"/>
  <c r="C215" i="7"/>
  <c r="C231" i="7"/>
  <c r="C247" i="7"/>
  <c r="C263" i="7"/>
  <c r="C279" i="7"/>
  <c r="C295" i="7"/>
  <c r="C311" i="7"/>
  <c r="C299" i="7"/>
  <c r="C315" i="7"/>
  <c r="C255" i="7"/>
  <c r="C303" i="7"/>
  <c r="G278" i="3"/>
  <c r="G279" i="3"/>
  <c r="G280" i="3"/>
  <c r="G281" i="3"/>
  <c r="E242" i="3" l="1"/>
  <c r="E123" i="3"/>
  <c r="E122" i="3"/>
  <c r="E333" i="3" l="1"/>
  <c r="E334" i="3"/>
  <c r="E335" i="3"/>
  <c r="E336" i="3"/>
  <c r="E332" i="3"/>
  <c r="E87" i="3"/>
  <c r="G87" i="3"/>
  <c r="I87" i="3"/>
  <c r="I256" i="3"/>
  <c r="G256" i="3"/>
  <c r="E256" i="3"/>
  <c r="A257" i="3" l="1"/>
  <c r="E99" i="3" l="1"/>
  <c r="E98" i="3"/>
  <c r="E97" i="3"/>
  <c r="E96" i="3"/>
  <c r="A326" i="3" l="1"/>
  <c r="B352" i="3"/>
  <c r="A352" i="3"/>
  <c r="K355" i="3" l="1"/>
  <c r="K354" i="3"/>
  <c r="K353" i="3"/>
  <c r="I355" i="3"/>
  <c r="I354" i="3"/>
  <c r="I353" i="3"/>
  <c r="G355" i="3"/>
  <c r="G354" i="3"/>
  <c r="G353" i="3"/>
  <c r="E355" i="3"/>
  <c r="E354" i="3"/>
  <c r="E353" i="3"/>
  <c r="E343" i="3"/>
  <c r="E344" i="3"/>
  <c r="E345" i="3"/>
  <c r="E346" i="3"/>
  <c r="K325" i="3"/>
  <c r="K324" i="3"/>
  <c r="K323" i="3"/>
  <c r="K322" i="3"/>
  <c r="K321" i="3"/>
  <c r="K320" i="3"/>
  <c r="K319" i="3"/>
  <c r="K318" i="3"/>
  <c r="K317" i="3"/>
  <c r="K316" i="3"/>
  <c r="I321" i="3"/>
  <c r="I320" i="3"/>
  <c r="I317" i="3"/>
  <c r="I316" i="3"/>
  <c r="G321" i="3"/>
  <c r="G320" i="3"/>
  <c r="G317" i="3"/>
  <c r="G316" i="3"/>
  <c r="E325" i="3"/>
  <c r="E324" i="3"/>
  <c r="E323" i="3"/>
  <c r="E322" i="3"/>
  <c r="E321" i="3"/>
  <c r="E320" i="3"/>
  <c r="E319" i="3"/>
  <c r="E318" i="3"/>
  <c r="E317" i="3"/>
  <c r="E316" i="3"/>
  <c r="K307" i="3"/>
  <c r="K306" i="3"/>
  <c r="K305" i="3"/>
  <c r="K304" i="3"/>
  <c r="K303" i="3"/>
  <c r="K302" i="3"/>
  <c r="K301" i="3"/>
  <c r="K300" i="3"/>
  <c r="K299" i="3"/>
  <c r="I307" i="3"/>
  <c r="I306" i="3"/>
  <c r="I305" i="3"/>
  <c r="I304" i="3"/>
  <c r="I303" i="3"/>
  <c r="I302" i="3"/>
  <c r="I301" i="3"/>
  <c r="I300" i="3"/>
  <c r="I299" i="3"/>
  <c r="I298" i="3"/>
  <c r="G307" i="3"/>
  <c r="G306" i="3"/>
  <c r="G305" i="3"/>
  <c r="G304" i="3"/>
  <c r="G303" i="3"/>
  <c r="G302" i="3"/>
  <c r="G301" i="3"/>
  <c r="G300" i="3"/>
  <c r="G299" i="3"/>
  <c r="G298" i="3"/>
  <c r="E307" i="3"/>
  <c r="E306" i="3"/>
  <c r="E305" i="3"/>
  <c r="E304" i="3"/>
  <c r="E303" i="3"/>
  <c r="E302" i="3"/>
  <c r="E301" i="3"/>
  <c r="E300" i="3"/>
  <c r="E299" i="3"/>
  <c r="E298" i="3"/>
  <c r="G287" i="3"/>
  <c r="G286" i="3"/>
  <c r="G285" i="3"/>
  <c r="G284" i="3"/>
  <c r="G283" i="3"/>
  <c r="G277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K255" i="3"/>
  <c r="K254" i="3"/>
  <c r="K253" i="3"/>
  <c r="I255" i="3"/>
  <c r="I254" i="3"/>
  <c r="I253" i="3"/>
  <c r="I252" i="3"/>
  <c r="G255" i="3"/>
  <c r="G254" i="3"/>
  <c r="G253" i="3"/>
  <c r="G252" i="3"/>
  <c r="E255" i="3"/>
  <c r="E254" i="3"/>
  <c r="E253" i="3"/>
  <c r="E252" i="3"/>
  <c r="K233" i="3"/>
  <c r="K232" i="3"/>
  <c r="I233" i="3"/>
  <c r="I232" i="3"/>
  <c r="G233" i="3"/>
  <c r="G232" i="3"/>
  <c r="E232" i="3"/>
  <c r="K206" i="3"/>
  <c r="K205" i="3"/>
  <c r="K204" i="3"/>
  <c r="K203" i="3"/>
  <c r="I206" i="3"/>
  <c r="I205" i="3"/>
  <c r="I204" i="3"/>
  <c r="I203" i="3"/>
  <c r="G206" i="3"/>
  <c r="G205" i="3"/>
  <c r="G204" i="3"/>
  <c r="G203" i="3"/>
  <c r="E208" i="3"/>
  <c r="E207" i="3"/>
  <c r="E206" i="3"/>
  <c r="E205" i="3"/>
  <c r="E204" i="3"/>
  <c r="E203" i="3"/>
  <c r="K194" i="3"/>
  <c r="K193" i="3"/>
  <c r="K192" i="3"/>
  <c r="I194" i="3"/>
  <c r="I193" i="3"/>
  <c r="I192" i="3"/>
  <c r="I191" i="3"/>
  <c r="G194" i="3"/>
  <c r="G193" i="3"/>
  <c r="G192" i="3"/>
  <c r="G191" i="3"/>
  <c r="E194" i="3"/>
  <c r="E193" i="3"/>
  <c r="E192" i="3"/>
  <c r="E191" i="3"/>
  <c r="K154" i="3"/>
  <c r="K153" i="3"/>
  <c r="K152" i="3"/>
  <c r="K151" i="3"/>
  <c r="K150" i="3"/>
  <c r="K149" i="3"/>
  <c r="K148" i="3"/>
  <c r="I154" i="3"/>
  <c r="I153" i="3"/>
  <c r="I152" i="3"/>
  <c r="I151" i="3"/>
  <c r="I150" i="3"/>
  <c r="I149" i="3"/>
  <c r="I148" i="3"/>
  <c r="G154" i="3"/>
  <c r="G153" i="3"/>
  <c r="G152" i="3"/>
  <c r="G151" i="3"/>
  <c r="G150" i="3"/>
  <c r="G149" i="3"/>
  <c r="G148" i="3"/>
  <c r="E150" i="3"/>
  <c r="E149" i="3"/>
  <c r="E148" i="3"/>
  <c r="K139" i="3"/>
  <c r="K138" i="3"/>
  <c r="K137" i="3"/>
  <c r="K136" i="3"/>
  <c r="K135" i="3"/>
  <c r="K134" i="3"/>
  <c r="K133" i="3"/>
  <c r="I139" i="3"/>
  <c r="I138" i="3"/>
  <c r="I137" i="3"/>
  <c r="I136" i="3"/>
  <c r="I135" i="3"/>
  <c r="I134" i="3"/>
  <c r="I133" i="3"/>
  <c r="G139" i="3"/>
  <c r="G138" i="3"/>
  <c r="G137" i="3"/>
  <c r="G136" i="3"/>
  <c r="G135" i="3"/>
  <c r="G134" i="3"/>
  <c r="G133" i="3"/>
  <c r="E135" i="3"/>
  <c r="E134" i="3"/>
  <c r="E133" i="3"/>
  <c r="K110" i="3"/>
  <c r="K109" i="3"/>
  <c r="I110" i="3"/>
  <c r="I109" i="3"/>
  <c r="G110" i="3"/>
  <c r="G109" i="3"/>
  <c r="E111" i="3"/>
  <c r="E110" i="3"/>
  <c r="E109" i="3"/>
  <c r="K86" i="3"/>
  <c r="K85" i="3"/>
  <c r="K84" i="3"/>
  <c r="I86" i="3"/>
  <c r="I85" i="3"/>
  <c r="I84" i="3"/>
  <c r="I83" i="3"/>
  <c r="G86" i="3"/>
  <c r="G85" i="3"/>
  <c r="G84" i="3"/>
  <c r="G83" i="3"/>
  <c r="E86" i="3"/>
  <c r="E85" i="3"/>
  <c r="E84" i="3"/>
  <c r="E83" i="3"/>
  <c r="K66" i="3"/>
  <c r="K65" i="3"/>
  <c r="I66" i="3"/>
  <c r="I65" i="3"/>
  <c r="G66" i="3"/>
  <c r="G65" i="3"/>
  <c r="E65" i="3"/>
  <c r="K29" i="3"/>
  <c r="K28" i="3"/>
  <c r="K27" i="3"/>
  <c r="K26" i="3"/>
  <c r="I29" i="3"/>
  <c r="I28" i="3"/>
  <c r="I27" i="3"/>
  <c r="I26" i="3"/>
  <c r="G29" i="3"/>
  <c r="G28" i="3"/>
  <c r="G27" i="3"/>
  <c r="G26" i="3"/>
  <c r="E29" i="3"/>
  <c r="E28" i="3"/>
  <c r="E27" i="3"/>
  <c r="E26" i="3"/>
  <c r="E38" i="3"/>
  <c r="E39" i="3"/>
  <c r="E40" i="3"/>
  <c r="E41" i="3"/>
  <c r="K18" i="3"/>
  <c r="K17" i="3"/>
  <c r="K16" i="3"/>
  <c r="K15" i="3"/>
  <c r="I18" i="3"/>
  <c r="I17" i="3"/>
  <c r="I16" i="3"/>
  <c r="I15" i="3"/>
  <c r="G18" i="3"/>
  <c r="G17" i="3"/>
  <c r="G16" i="3"/>
  <c r="G15" i="3"/>
  <c r="E18" i="3"/>
  <c r="E17" i="3"/>
  <c r="E16" i="3"/>
  <c r="E15" i="3"/>
  <c r="D11" i="3" l="1"/>
  <c r="J297" i="3" l="1"/>
  <c r="G297" i="3"/>
  <c r="D349" i="3"/>
  <c r="D340" i="3"/>
  <c r="D329" i="3"/>
  <c r="D313" i="3"/>
  <c r="D294" i="3"/>
  <c r="D274" i="3"/>
  <c r="D261" i="3"/>
  <c r="D248" i="3"/>
  <c r="D238" i="3"/>
  <c r="D228" i="3"/>
  <c r="D199" i="3"/>
  <c r="D187" i="3"/>
  <c r="D174" i="3"/>
  <c r="D144" i="3"/>
  <c r="D129" i="3"/>
  <c r="D118" i="3"/>
  <c r="D105" i="3"/>
  <c r="D79" i="3"/>
  <c r="D70" i="3"/>
  <c r="D61" i="3"/>
  <c r="D22" i="3"/>
  <c r="E3" i="3"/>
  <c r="D34" i="3"/>
  <c r="C9" i="6"/>
  <c r="J16" i="6" l="1"/>
  <c r="C8" i="6"/>
  <c r="A313" i="3" l="1"/>
  <c r="A261" i="3"/>
  <c r="A248" i="3"/>
  <c r="A214" i="3"/>
  <c r="A199" i="3"/>
  <c r="A118" i="3"/>
  <c r="A105" i="3"/>
  <c r="A92" i="3"/>
  <c r="A79" i="3"/>
  <c r="J7" i="6"/>
  <c r="J8" i="6"/>
  <c r="J9" i="6"/>
  <c r="J10" i="6"/>
  <c r="J11" i="6"/>
  <c r="J12" i="6"/>
  <c r="J13" i="6"/>
  <c r="J14" i="6"/>
  <c r="J15" i="6"/>
  <c r="J6" i="6"/>
  <c r="H9" i="6" l="1"/>
  <c r="E9" i="6"/>
  <c r="G9" i="6"/>
  <c r="F9" i="6"/>
  <c r="H8" i="6"/>
  <c r="D9" i="6"/>
  <c r="E8" i="6"/>
  <c r="F8" i="6"/>
  <c r="G8" i="6"/>
  <c r="D8" i="6"/>
  <c r="B11" i="7" l="1"/>
  <c r="B233" i="7"/>
  <c r="B292" i="7"/>
  <c r="B159" i="7"/>
  <c r="B60" i="7"/>
  <c r="B291" i="7"/>
  <c r="B158" i="7"/>
  <c r="B290" i="7"/>
  <c r="B157" i="7"/>
  <c r="B289" i="7"/>
  <c r="B156" i="7"/>
  <c r="B288" i="7"/>
  <c r="B155" i="7"/>
  <c r="B287" i="7"/>
  <c r="B154" i="7"/>
  <c r="B286" i="7"/>
  <c r="B153" i="7"/>
  <c r="B285" i="7"/>
  <c r="B152" i="7"/>
  <c r="B224" i="7"/>
  <c r="B51" i="7"/>
  <c r="B259" i="7"/>
  <c r="B123" i="7"/>
  <c r="B258" i="7"/>
  <c r="B122" i="7"/>
  <c r="B257" i="7"/>
  <c r="B121" i="7"/>
  <c r="B256" i="7"/>
  <c r="B120" i="7"/>
  <c r="B245" i="7"/>
  <c r="B93" i="7"/>
  <c r="B92" i="7"/>
  <c r="B91" i="7"/>
  <c r="B90" i="7"/>
  <c r="B89" i="7"/>
  <c r="B87" i="7"/>
  <c r="B85" i="7"/>
  <c r="B83" i="7"/>
  <c r="B170" i="7"/>
  <c r="B168" i="7"/>
  <c r="B166" i="7"/>
  <c r="B238" i="7"/>
  <c r="B70" i="7"/>
  <c r="B69" i="7"/>
  <c r="B68" i="7"/>
  <c r="B161" i="7"/>
  <c r="B283" i="7"/>
  <c r="B221" i="7"/>
  <c r="B147" i="7"/>
  <c r="B44" i="7"/>
  <c r="B43" i="7"/>
  <c r="B42" i="7"/>
  <c r="B276" i="7"/>
  <c r="B214" i="7"/>
  <c r="B140" i="7"/>
  <c r="B41" i="7"/>
  <c r="B40" i="7"/>
  <c r="B39" i="7"/>
  <c r="B270" i="7"/>
  <c r="B269" i="7"/>
  <c r="B207" i="7"/>
  <c r="B206" i="7"/>
  <c r="B205" i="7"/>
  <c r="B204" i="7"/>
  <c r="B130" i="7"/>
  <c r="B202" i="7"/>
  <c r="B128" i="7"/>
  <c r="B127" i="7"/>
  <c r="B126" i="7"/>
  <c r="B125" i="7"/>
  <c r="B260" i="7"/>
  <c r="B318" i="7"/>
  <c r="B192" i="7"/>
  <c r="B317" i="7"/>
  <c r="B191" i="7"/>
  <c r="B316" i="7"/>
  <c r="B190" i="7"/>
  <c r="B112" i="7"/>
  <c r="B110" i="7"/>
  <c r="B108" i="7"/>
  <c r="B107" i="7"/>
  <c r="B106" i="7"/>
  <c r="B105" i="7"/>
  <c r="B104" i="7"/>
  <c r="B252" i="7"/>
  <c r="B103" i="7"/>
  <c r="B251" i="7"/>
  <c r="B102" i="7"/>
  <c r="B101" i="7"/>
  <c r="B100" i="7"/>
  <c r="B250" i="7"/>
  <c r="B99" i="7"/>
  <c r="B249" i="7"/>
  <c r="B98" i="7"/>
  <c r="B248" i="7"/>
  <c r="B97" i="7"/>
  <c r="B247" i="7"/>
  <c r="B96" i="7"/>
  <c r="B246" i="7"/>
  <c r="B95" i="7"/>
  <c r="B94" i="7"/>
  <c r="B244" i="7"/>
  <c r="B243" i="7"/>
  <c r="B242" i="7"/>
  <c r="B241" i="7"/>
  <c r="B240" i="7"/>
  <c r="B176" i="7"/>
  <c r="B86" i="7"/>
  <c r="B84" i="7"/>
  <c r="B82" i="7"/>
  <c r="B169" i="7"/>
  <c r="B167" i="7"/>
  <c r="B71" i="7"/>
  <c r="B237" i="7"/>
  <c r="B236" i="7"/>
  <c r="B235" i="7"/>
  <c r="B223" i="7"/>
  <c r="B149" i="7"/>
  <c r="B281" i="7"/>
  <c r="B219" i="7"/>
  <c r="B218" i="7"/>
  <c r="B217" i="7"/>
  <c r="B216" i="7"/>
  <c r="B142" i="7"/>
  <c r="B274" i="7"/>
  <c r="B212" i="7"/>
  <c r="B211" i="7"/>
  <c r="B210" i="7"/>
  <c r="B136" i="7"/>
  <c r="B135" i="7"/>
  <c r="B29" i="7"/>
  <c r="B28" i="7"/>
  <c r="B27" i="7"/>
  <c r="B26" i="7"/>
  <c r="B264" i="7"/>
  <c r="B263" i="7"/>
  <c r="B262" i="7"/>
  <c r="B261" i="7"/>
  <c r="B124" i="7"/>
  <c r="B293" i="7"/>
  <c r="B160" i="7"/>
  <c r="B232" i="7"/>
  <c r="B65" i="7"/>
  <c r="B59" i="7"/>
  <c r="B231" i="7"/>
  <c r="B58" i="7"/>
  <c r="B230" i="7"/>
  <c r="B57" i="7"/>
  <c r="B229" i="7"/>
  <c r="B56" i="7"/>
  <c r="B228" i="7"/>
  <c r="B55" i="7"/>
  <c r="B227" i="7"/>
  <c r="B54" i="7"/>
  <c r="B226" i="7"/>
  <c r="B53" i="7"/>
  <c r="B225" i="7"/>
  <c r="B52" i="7"/>
  <c r="B151" i="7"/>
  <c r="B196" i="7"/>
  <c r="B10" i="7"/>
  <c r="B195" i="7"/>
  <c r="B9" i="7"/>
  <c r="B194" i="7"/>
  <c r="B8" i="7"/>
  <c r="B193" i="7"/>
  <c r="B7" i="7"/>
  <c r="B180" i="7"/>
  <c r="B179" i="7"/>
  <c r="B178" i="7"/>
  <c r="B177" i="7"/>
  <c r="B88" i="7"/>
  <c r="B173" i="7"/>
  <c r="B171" i="7"/>
  <c r="B80" i="7"/>
  <c r="B78" i="7"/>
  <c r="B77" i="7"/>
  <c r="B165" i="7"/>
  <c r="B164" i="7"/>
  <c r="B163" i="7"/>
  <c r="B162" i="7"/>
  <c r="B67" i="7"/>
  <c r="B284" i="7"/>
  <c r="B222" i="7"/>
  <c r="B148" i="7"/>
  <c r="B280" i="7"/>
  <c r="B279" i="7"/>
  <c r="B278" i="7"/>
  <c r="B277" i="7"/>
  <c r="B215" i="7"/>
  <c r="B141" i="7"/>
  <c r="B273" i="7"/>
  <c r="B272" i="7"/>
  <c r="B271" i="7"/>
  <c r="B209" i="7"/>
  <c r="B208" i="7"/>
  <c r="B134" i="7"/>
  <c r="B133" i="7"/>
  <c r="B132" i="7"/>
  <c r="B131" i="7"/>
  <c r="B25" i="7"/>
  <c r="B129" i="7"/>
  <c r="B23" i="7"/>
  <c r="B14" i="7"/>
  <c r="B13" i="7"/>
  <c r="B12" i="7"/>
  <c r="B255" i="7"/>
  <c r="B119" i="7"/>
  <c r="B254" i="7"/>
  <c r="B118" i="7"/>
  <c r="B253" i="7"/>
  <c r="B117" i="7"/>
  <c r="B111" i="7"/>
  <c r="B109" i="7"/>
  <c r="B315" i="7"/>
  <c r="B314" i="7"/>
  <c r="B313" i="7"/>
  <c r="B312" i="7"/>
  <c r="B311" i="7"/>
  <c r="B189" i="7"/>
  <c r="B310" i="7"/>
  <c r="B188" i="7"/>
  <c r="B309" i="7"/>
  <c r="B308" i="7"/>
  <c r="B307" i="7"/>
  <c r="B187" i="7"/>
  <c r="B306" i="7"/>
  <c r="B186" i="7"/>
  <c r="B305" i="7"/>
  <c r="B185" i="7"/>
  <c r="B304" i="7"/>
  <c r="B184" i="7"/>
  <c r="B303" i="7"/>
  <c r="B183" i="7"/>
  <c r="B302" i="7"/>
  <c r="B182" i="7"/>
  <c r="B301" i="7"/>
  <c r="B181" i="7"/>
  <c r="B300" i="7"/>
  <c r="B299" i="7"/>
  <c r="B298" i="7"/>
  <c r="B297" i="7"/>
  <c r="B239" i="7"/>
  <c r="B175" i="7"/>
  <c r="B174" i="7"/>
  <c r="B172" i="7"/>
  <c r="B81" i="7"/>
  <c r="B79" i="7"/>
  <c r="B76" i="7"/>
  <c r="B296" i="7"/>
  <c r="B295" i="7"/>
  <c r="B294" i="7"/>
  <c r="B234" i="7"/>
  <c r="B150" i="7"/>
  <c r="B282" i="7"/>
  <c r="B220" i="7"/>
  <c r="B146" i="7"/>
  <c r="B145" i="7"/>
  <c r="B144" i="7"/>
  <c r="B143" i="7"/>
  <c r="B275" i="7"/>
  <c r="B213" i="7"/>
  <c r="B139" i="7"/>
  <c r="B138" i="7"/>
  <c r="B137" i="7"/>
  <c r="B36" i="7"/>
  <c r="B35" i="7"/>
  <c r="B34" i="7"/>
  <c r="B268" i="7"/>
  <c r="B267" i="7"/>
  <c r="B266" i="7"/>
  <c r="B203" i="7"/>
  <c r="B265" i="7"/>
  <c r="B201" i="7"/>
  <c r="B200" i="7"/>
  <c r="B199" i="7"/>
  <c r="B198" i="7"/>
  <c r="B197" i="7"/>
  <c r="B45" i="7"/>
  <c r="B48" i="7" s="1"/>
  <c r="B33" i="7"/>
  <c r="B75" i="7" s="1"/>
  <c r="B16" i="7"/>
  <c r="B47" i="7"/>
  <c r="B50" i="7" s="1"/>
  <c r="B37" i="7"/>
  <c r="B31" i="7"/>
  <c r="B73" i="7" s="1"/>
  <c r="B24" i="7"/>
  <c r="B66" i="7" s="1"/>
  <c r="B18" i="7"/>
  <c r="B38" i="7"/>
  <c r="B32" i="7"/>
  <c r="B74" i="7" s="1"/>
  <c r="B15" i="7"/>
  <c r="B46" i="7"/>
  <c r="B49" i="7" s="1"/>
  <c r="B30" i="7"/>
  <c r="B72" i="7" s="1"/>
  <c r="B17" i="7"/>
  <c r="K1" i="1"/>
  <c r="J295" i="3"/>
  <c r="J262" i="3"/>
  <c r="J249" i="3"/>
  <c r="J239" i="3"/>
  <c r="J229" i="3"/>
  <c r="J215" i="3"/>
  <c r="J200" i="3"/>
  <c r="J188" i="3"/>
  <c r="J175" i="3"/>
  <c r="J161" i="3"/>
  <c r="J145" i="3"/>
  <c r="J130" i="3"/>
  <c r="J119" i="3"/>
  <c r="J106" i="3"/>
  <c r="J93" i="3"/>
  <c r="J80" i="3"/>
  <c r="J71" i="3"/>
  <c r="J62" i="3"/>
  <c r="J49" i="3"/>
  <c r="J35" i="3"/>
  <c r="J23" i="3"/>
  <c r="J12" i="3"/>
  <c r="H14" i="3"/>
  <c r="B61" i="7" l="1"/>
  <c r="B19" i="7"/>
  <c r="B63" i="7"/>
  <c r="B21" i="7"/>
  <c r="B22" i="7"/>
  <c r="B64" i="7"/>
  <c r="B20" i="7"/>
  <c r="B62" i="7"/>
  <c r="C255" i="3"/>
  <c r="C254" i="3"/>
  <c r="C253" i="3"/>
  <c r="C206" i="3"/>
  <c r="C205" i="3"/>
  <c r="C204" i="3"/>
  <c r="C86" i="3"/>
  <c r="C85" i="3"/>
  <c r="C84" i="3"/>
  <c r="C29" i="3"/>
  <c r="C28" i="3"/>
  <c r="C27" i="3"/>
  <c r="C18" i="3"/>
  <c r="C17" i="3"/>
  <c r="C16" i="3"/>
  <c r="C254" i="1"/>
  <c r="C253" i="1"/>
  <c r="C252" i="1"/>
  <c r="C205" i="1"/>
  <c r="C204" i="1"/>
  <c r="C203" i="1"/>
  <c r="C86" i="1"/>
  <c r="C85" i="1"/>
  <c r="C84" i="1"/>
  <c r="C29" i="1"/>
  <c r="C28" i="1"/>
  <c r="C27" i="1"/>
  <c r="C18" i="1"/>
  <c r="C17" i="1"/>
  <c r="C16" i="1"/>
  <c r="A58" i="3" l="1"/>
  <c r="A76" i="3"/>
  <c r="A102" i="3"/>
  <c r="A126" i="3"/>
  <c r="A271" i="3"/>
  <c r="A244" i="3"/>
  <c r="A224" i="3"/>
  <c r="A184" i="3"/>
  <c r="A170" i="3"/>
  <c r="A44" i="3"/>
  <c r="C251" i="3" l="1"/>
  <c r="C202" i="3"/>
  <c r="C82" i="3"/>
  <c r="C25" i="3"/>
  <c r="C14" i="3"/>
  <c r="B264" i="3"/>
  <c r="B251" i="3"/>
  <c r="B217" i="3"/>
  <c r="B202" i="3"/>
  <c r="B95" i="3"/>
  <c r="B82" i="3"/>
  <c r="B51" i="3"/>
  <c r="B37" i="3"/>
  <c r="B25" i="3"/>
  <c r="D214" i="3"/>
  <c r="D160" i="3"/>
  <c r="D92" i="3"/>
  <c r="D48" i="3"/>
  <c r="A264" i="3"/>
  <c r="A251" i="3"/>
  <c r="A217" i="3"/>
  <c r="A95" i="3"/>
  <c r="A82" i="3"/>
  <c r="A51" i="3"/>
  <c r="A37" i="3"/>
  <c r="A202" i="3"/>
  <c r="A25" i="3"/>
  <c r="B14" i="3"/>
  <c r="A14" i="3"/>
  <c r="H351" i="3"/>
  <c r="F341" i="3"/>
  <c r="F330" i="3"/>
  <c r="H296" i="3"/>
  <c r="F275" i="3"/>
  <c r="H263" i="3"/>
  <c r="H250" i="3"/>
  <c r="H240" i="3"/>
  <c r="H230" i="3"/>
  <c r="H216" i="3"/>
  <c r="H201" i="3"/>
  <c r="H189" i="3"/>
  <c r="H176" i="3"/>
  <c r="H162" i="3"/>
  <c r="H146" i="3"/>
  <c r="H131" i="3"/>
  <c r="H120" i="3"/>
  <c r="H107" i="3"/>
  <c r="H94" i="3"/>
  <c r="H81" i="3"/>
  <c r="H72" i="3"/>
  <c r="H63" i="3"/>
  <c r="H50" i="3"/>
  <c r="H36" i="3"/>
  <c r="H24" i="3"/>
  <c r="H350" i="3"/>
  <c r="H295" i="3"/>
  <c r="H262" i="3"/>
  <c r="H249" i="3"/>
  <c r="H239" i="3"/>
  <c r="H229" i="3"/>
  <c r="H215" i="3"/>
  <c r="H200" i="3"/>
  <c r="H188" i="3"/>
  <c r="H175" i="3"/>
  <c r="H161" i="3"/>
  <c r="H145" i="3"/>
  <c r="H130" i="3"/>
  <c r="H119" i="3"/>
  <c r="H106" i="3"/>
  <c r="H93" i="3"/>
  <c r="H80" i="3"/>
  <c r="H71" i="3"/>
  <c r="H62" i="3"/>
  <c r="H49" i="3"/>
  <c r="H35" i="3"/>
  <c r="H23" i="3"/>
  <c r="H13" i="3"/>
  <c r="H12" i="3"/>
  <c r="K352" i="3"/>
  <c r="I352" i="3"/>
  <c r="G352" i="3"/>
  <c r="E352" i="3"/>
  <c r="K342" i="3"/>
  <c r="I342" i="3"/>
  <c r="G342" i="3"/>
  <c r="E342" i="3"/>
  <c r="K331" i="3"/>
  <c r="I331" i="3"/>
  <c r="G331" i="3"/>
  <c r="E331" i="3"/>
  <c r="K315" i="3"/>
  <c r="I315" i="3"/>
  <c r="G315" i="3"/>
  <c r="E315" i="3"/>
  <c r="K297" i="3"/>
  <c r="I297" i="3"/>
  <c r="E297" i="3"/>
  <c r="K276" i="3"/>
  <c r="I276" i="3"/>
  <c r="G276" i="3"/>
  <c r="E276" i="3"/>
  <c r="K264" i="3"/>
  <c r="I264" i="3"/>
  <c r="G264" i="3"/>
  <c r="E264" i="3"/>
  <c r="K251" i="3"/>
  <c r="I251" i="3"/>
  <c r="G251" i="3"/>
  <c r="E251" i="3"/>
  <c r="K241" i="3"/>
  <c r="I241" i="3"/>
  <c r="G241" i="3"/>
  <c r="E241" i="3"/>
  <c r="K231" i="3"/>
  <c r="I231" i="3"/>
  <c r="G231" i="3"/>
  <c r="E231" i="3"/>
  <c r="K217" i="3"/>
  <c r="I217" i="3"/>
  <c r="G217" i="3"/>
  <c r="E217" i="3"/>
  <c r="K202" i="3"/>
  <c r="I202" i="3"/>
  <c r="G202" i="3"/>
  <c r="E202" i="3"/>
  <c r="K190" i="3"/>
  <c r="I190" i="3"/>
  <c r="G190" i="3"/>
  <c r="E190" i="3"/>
  <c r="K177" i="3"/>
  <c r="I177" i="3"/>
  <c r="G177" i="3"/>
  <c r="E177" i="3"/>
  <c r="K163" i="3"/>
  <c r="I163" i="3"/>
  <c r="G163" i="3"/>
  <c r="E163" i="3"/>
  <c r="K147" i="3"/>
  <c r="I147" i="3"/>
  <c r="G147" i="3"/>
  <c r="E147" i="3"/>
  <c r="K132" i="3"/>
  <c r="I132" i="3"/>
  <c r="G132" i="3"/>
  <c r="E132" i="3"/>
  <c r="K121" i="3"/>
  <c r="I121" i="3"/>
  <c r="G121" i="3"/>
  <c r="E121" i="3"/>
  <c r="K108" i="3"/>
  <c r="I108" i="3"/>
  <c r="G108" i="3"/>
  <c r="E108" i="3"/>
  <c r="K95" i="3"/>
  <c r="I95" i="3"/>
  <c r="G95" i="3"/>
  <c r="E95" i="3"/>
  <c r="K82" i="3"/>
  <c r="I82" i="3"/>
  <c r="G82" i="3"/>
  <c r="E82" i="3"/>
  <c r="K73" i="3"/>
  <c r="I73" i="3"/>
  <c r="G73" i="3"/>
  <c r="E73" i="3"/>
  <c r="K64" i="3"/>
  <c r="I64" i="3"/>
  <c r="G64" i="3"/>
  <c r="E64" i="3"/>
  <c r="K51" i="3"/>
  <c r="I51" i="3"/>
  <c r="G51" i="3"/>
  <c r="E51" i="3"/>
  <c r="K37" i="3"/>
  <c r="I37" i="3"/>
  <c r="G37" i="3"/>
  <c r="E37" i="3"/>
  <c r="K25" i="3"/>
  <c r="I25" i="3"/>
  <c r="G25" i="3"/>
  <c r="E25" i="3"/>
  <c r="K14" i="3"/>
  <c r="I14" i="3"/>
  <c r="G14" i="3"/>
  <c r="E14" i="3"/>
  <c r="J10" i="3"/>
  <c r="J352" i="3"/>
  <c r="H352" i="3"/>
  <c r="F352" i="3"/>
  <c r="D352" i="3"/>
  <c r="D342" i="3"/>
  <c r="D331" i="3"/>
  <c r="J315" i="3"/>
  <c r="H315" i="3"/>
  <c r="F315" i="3"/>
  <c r="D315" i="3"/>
  <c r="H297" i="3"/>
  <c r="F297" i="3"/>
  <c r="D297" i="3"/>
  <c r="F276" i="3"/>
  <c r="D276" i="3"/>
  <c r="D264" i="3"/>
  <c r="J251" i="3"/>
  <c r="H251" i="3"/>
  <c r="F251" i="3"/>
  <c r="D251" i="3"/>
  <c r="D241" i="3"/>
  <c r="J231" i="3"/>
  <c r="H231" i="3"/>
  <c r="F231" i="3"/>
  <c r="D231" i="3"/>
  <c r="D217" i="3"/>
  <c r="J202" i="3"/>
  <c r="H202" i="3"/>
  <c r="F202" i="3"/>
  <c r="D202" i="3"/>
  <c r="J190" i="3"/>
  <c r="H190" i="3"/>
  <c r="F190" i="3"/>
  <c r="D190" i="3"/>
  <c r="D177" i="3"/>
  <c r="D163" i="3"/>
  <c r="J147" i="3"/>
  <c r="H147" i="3"/>
  <c r="F147" i="3"/>
  <c r="D147" i="3"/>
  <c r="J132" i="3"/>
  <c r="H132" i="3"/>
  <c r="F132" i="3"/>
  <c r="D132" i="3"/>
  <c r="D121" i="3"/>
  <c r="J108" i="3"/>
  <c r="H108" i="3"/>
  <c r="F108" i="3"/>
  <c r="D108" i="3"/>
  <c r="D95" i="3"/>
  <c r="J82" i="3"/>
  <c r="H82" i="3"/>
  <c r="F82" i="3"/>
  <c r="D82" i="3"/>
  <c r="D73" i="3"/>
  <c r="J64" i="3"/>
  <c r="H64" i="3"/>
  <c r="F64" i="3"/>
  <c r="D64" i="3"/>
  <c r="D51" i="3"/>
  <c r="D37" i="3"/>
  <c r="J25" i="3"/>
  <c r="H25" i="3"/>
  <c r="F25" i="3"/>
  <c r="D25" i="3"/>
  <c r="J14" i="3"/>
  <c r="F14" i="3"/>
  <c r="D14" i="3"/>
  <c r="F350" i="3"/>
  <c r="F314" i="3"/>
  <c r="F295" i="3"/>
  <c r="F262" i="3"/>
  <c r="F249" i="3"/>
  <c r="F239" i="3"/>
  <c r="F229" i="3"/>
  <c r="F215" i="3"/>
  <c r="F200" i="3"/>
  <c r="F188" i="3"/>
  <c r="F175" i="3"/>
  <c r="F161" i="3"/>
  <c r="F145" i="3"/>
  <c r="F130" i="3"/>
  <c r="F119" i="3"/>
  <c r="F106" i="3"/>
  <c r="F93" i="3"/>
  <c r="F80" i="3"/>
  <c r="F71" i="3"/>
  <c r="F62" i="3"/>
  <c r="F49" i="3"/>
  <c r="F35" i="3"/>
  <c r="F23" i="3"/>
  <c r="F12" i="3"/>
  <c r="A270" i="3"/>
  <c r="A222" i="3"/>
  <c r="A210" i="3"/>
  <c r="A100" i="3"/>
  <c r="A88" i="3"/>
  <c r="A56" i="3"/>
  <c r="A42" i="3"/>
  <c r="A30" i="3"/>
  <c r="A19" i="3"/>
  <c r="F351" i="3"/>
  <c r="D351" i="3"/>
  <c r="F296" i="3"/>
  <c r="D296" i="3"/>
  <c r="F263" i="3"/>
  <c r="D263" i="3"/>
  <c r="F250" i="3"/>
  <c r="D250" i="3"/>
  <c r="F240" i="3"/>
  <c r="D240" i="3"/>
  <c r="F230" i="3"/>
  <c r="D230" i="3"/>
  <c r="F216" i="3"/>
  <c r="D216" i="3"/>
  <c r="F201" i="3"/>
  <c r="D201" i="3"/>
  <c r="F189" i="3"/>
  <c r="D189" i="3"/>
  <c r="F176" i="3"/>
  <c r="D176" i="3"/>
  <c r="F162" i="3"/>
  <c r="D162" i="3"/>
  <c r="F146" i="3"/>
  <c r="D146" i="3"/>
  <c r="F131" i="3"/>
  <c r="D131" i="3"/>
  <c r="F120" i="3"/>
  <c r="D120" i="3"/>
  <c r="F107" i="3"/>
  <c r="D107" i="3"/>
  <c r="F94" i="3"/>
  <c r="D94" i="3"/>
  <c r="F81" i="3"/>
  <c r="D81" i="3"/>
  <c r="F72" i="3"/>
  <c r="D72" i="3"/>
  <c r="F63" i="3"/>
  <c r="D63" i="3"/>
  <c r="F50" i="3"/>
  <c r="D50" i="3"/>
  <c r="F36" i="3"/>
  <c r="D36" i="3"/>
  <c r="F24" i="3"/>
  <c r="D24" i="3"/>
  <c r="F13" i="3"/>
  <c r="D13" i="3"/>
  <c r="D350" i="3"/>
  <c r="D341" i="3"/>
  <c r="D330" i="3"/>
  <c r="D314" i="3"/>
  <c r="D295" i="3"/>
  <c r="D275" i="3"/>
  <c r="D262" i="3"/>
  <c r="D249" i="3"/>
  <c r="D239" i="3"/>
  <c r="D229" i="3"/>
  <c r="D215" i="3"/>
  <c r="D200" i="3"/>
  <c r="D188" i="3"/>
  <c r="D175" i="3"/>
  <c r="D161" i="3"/>
  <c r="D145" i="3"/>
  <c r="D130" i="3"/>
  <c r="D119" i="3"/>
  <c r="D106" i="3"/>
  <c r="D93" i="3"/>
  <c r="D80" i="3"/>
  <c r="D71" i="3"/>
  <c r="D62" i="3"/>
  <c r="D49" i="3"/>
  <c r="D35" i="3"/>
  <c r="D23" i="3"/>
  <c r="D12" i="3"/>
  <c r="A48" i="3" l="1"/>
  <c r="A34" i="3"/>
  <c r="A22" i="3"/>
  <c r="A11" i="3"/>
  <c r="E221" i="3" l="1"/>
  <c r="E220" i="3"/>
  <c r="E219" i="3"/>
  <c r="E218" i="3"/>
  <c r="D253" i="1" l="1"/>
  <c r="D254" i="1"/>
  <c r="D252" i="1"/>
  <c r="A268" i="1" l="1"/>
  <c r="A256" i="1"/>
  <c r="A100" i="1"/>
  <c r="A88" i="1"/>
  <c r="D85" i="1"/>
  <c r="D86" i="1"/>
  <c r="D84" i="1"/>
  <c r="E164" i="3" l="1"/>
  <c r="E165" i="3"/>
  <c r="E166" i="3"/>
  <c r="E268" i="3" l="1"/>
  <c r="E267" i="3"/>
  <c r="E266" i="3"/>
  <c r="E265" i="3"/>
  <c r="E180" i="3"/>
  <c r="E179" i="3"/>
  <c r="E178" i="3"/>
  <c r="E74" i="3"/>
  <c r="E55" i="3"/>
  <c r="E54" i="3"/>
  <c r="E53" i="3"/>
  <c r="E52" i="3"/>
  <c r="A47" i="1"/>
  <c r="A22" i="1"/>
  <c r="A11" i="1"/>
  <c r="K10" i="3" l="1"/>
  <c r="D15" i="1" l="1"/>
  <c r="D205" i="1"/>
  <c r="D204" i="1"/>
  <c r="D203" i="1"/>
  <c r="D346" i="3" l="1"/>
  <c r="D345" i="3"/>
  <c r="D343" i="3"/>
  <c r="D344" i="3"/>
  <c r="D204" i="3"/>
  <c r="D205" i="3"/>
  <c r="D206" i="3"/>
  <c r="D15" i="3"/>
  <c r="D164" i="3"/>
  <c r="D178" i="3" s="1"/>
  <c r="D122" i="3"/>
  <c r="F87" i="3"/>
  <c r="D96" i="3"/>
  <c r="D265" i="3" s="1"/>
  <c r="D207" i="3"/>
  <c r="D134" i="3"/>
  <c r="D353" i="3"/>
  <c r="D317" i="3"/>
  <c r="F286" i="3"/>
  <c r="D332" i="3"/>
  <c r="D305" i="3"/>
  <c r="D355" i="3"/>
  <c r="D304" i="3"/>
  <c r="D354" i="3"/>
  <c r="D307" i="3"/>
  <c r="F283" i="3"/>
  <c r="H138" i="3"/>
  <c r="D279" i="3"/>
  <c r="J136" i="3"/>
  <c r="D284" i="3"/>
  <c r="D133" i="3"/>
  <c r="F138" i="3"/>
  <c r="D252" i="3"/>
  <c r="D191" i="3"/>
  <c r="D83" i="3"/>
  <c r="D110" i="3"/>
  <c r="H66" i="3"/>
  <c r="D26" i="3"/>
  <c r="H256" i="3"/>
  <c r="D256" i="3"/>
  <c r="D123" i="3"/>
  <c r="J137" i="3"/>
  <c r="D325" i="3"/>
  <c r="F277" i="3"/>
  <c r="F285" i="3"/>
  <c r="D322" i="3"/>
  <c r="D282" i="3"/>
  <c r="D192" i="3"/>
  <c r="D280" i="3"/>
  <c r="F139" i="3"/>
  <c r="H110" i="3"/>
  <c r="F66" i="3"/>
  <c r="F256" i="3"/>
  <c r="D193" i="3"/>
  <c r="D321" i="3"/>
  <c r="D336" i="3"/>
  <c r="D316" i="3"/>
  <c r="F279" i="3"/>
  <c r="F287" i="3"/>
  <c r="D203" i="3"/>
  <c r="D135" i="3"/>
  <c r="J139" i="3"/>
  <c r="D288" i="3"/>
  <c r="D111" i="3"/>
  <c r="J109" i="3"/>
  <c r="D87" i="3"/>
  <c r="H87" i="3"/>
  <c r="D74" i="3"/>
  <c r="D242" i="3" s="1"/>
  <c r="D194" i="3"/>
  <c r="H233" i="3"/>
  <c r="D333" i="3"/>
  <c r="D306" i="3"/>
  <c r="F281" i="3"/>
  <c r="D324" i="3"/>
  <c r="D301" i="3"/>
  <c r="D335" i="3"/>
  <c r="D300" i="3"/>
  <c r="D334" i="3"/>
  <c r="D303" i="3"/>
  <c r="F278" i="3"/>
  <c r="D285" i="3"/>
  <c r="D232" i="3"/>
  <c r="H139" i="3"/>
  <c r="H136" i="3"/>
  <c r="D148" i="3"/>
  <c r="J138" i="3"/>
  <c r="D149" i="3"/>
  <c r="D281" i="3"/>
  <c r="F109" i="3"/>
  <c r="J66" i="3"/>
  <c r="J110" i="3"/>
  <c r="D278" i="3"/>
  <c r="D302" i="3"/>
  <c r="D320" i="3"/>
  <c r="D323" i="3"/>
  <c r="F284" i="3"/>
  <c r="D299" i="3"/>
  <c r="D283" i="3"/>
  <c r="D286" i="3"/>
  <c r="J233" i="3"/>
  <c r="F136" i="3"/>
  <c r="D65" i="3"/>
  <c r="F110" i="3"/>
  <c r="D165" i="3"/>
  <c r="D179" i="3" s="1"/>
  <c r="F233" i="3"/>
  <c r="F137" i="3"/>
  <c r="D298" i="3"/>
  <c r="F280" i="3"/>
  <c r="D319" i="3"/>
  <c r="D318" i="3"/>
  <c r="H137" i="3"/>
  <c r="D287" i="3"/>
  <c r="D208" i="3"/>
  <c r="D277" i="3"/>
  <c r="H109" i="3"/>
  <c r="D109" i="3"/>
  <c r="D255" i="3"/>
  <c r="D254" i="3"/>
  <c r="D253" i="3"/>
  <c r="D86" i="3"/>
  <c r="D85" i="3"/>
  <c r="D99" i="3"/>
  <c r="D268" i="3" s="1"/>
  <c r="D98" i="3"/>
  <c r="D267" i="3" s="1"/>
  <c r="D97" i="3"/>
  <c r="D266" i="3" s="1"/>
  <c r="D84" i="3"/>
  <c r="D38" i="3"/>
  <c r="D52" i="3" s="1"/>
  <c r="D16" i="1"/>
  <c r="D17" i="1"/>
  <c r="D18" i="1"/>
  <c r="F203" i="1"/>
  <c r="F204" i="3" s="1"/>
  <c r="F204" i="1"/>
  <c r="F205" i="3" s="1"/>
  <c r="F205" i="1"/>
  <c r="F206" i="3" s="1"/>
  <c r="D17" i="3" l="1"/>
  <c r="D40" i="3"/>
  <c r="D54" i="3" s="1"/>
  <c r="D39" i="3"/>
  <c r="D53" i="3" s="1"/>
  <c r="D16" i="3"/>
  <c r="D218" i="3"/>
  <c r="D41" i="3"/>
  <c r="D55" i="3" s="1"/>
  <c r="D18" i="3"/>
  <c r="F18" i="1"/>
  <c r="F18" i="3" s="1"/>
  <c r="F17" i="1"/>
  <c r="F17" i="3" s="1"/>
  <c r="F16" i="1"/>
  <c r="F16" i="3" s="1"/>
  <c r="J355" i="3"/>
  <c r="H355" i="3"/>
  <c r="F355" i="3"/>
  <c r="J354" i="3"/>
  <c r="H354" i="3"/>
  <c r="F354" i="3"/>
  <c r="J353" i="3"/>
  <c r="H353" i="3"/>
  <c r="F353" i="3"/>
  <c r="J325" i="1"/>
  <c r="J325" i="3" s="1"/>
  <c r="J324" i="1"/>
  <c r="J324" i="3" s="1"/>
  <c r="J323" i="1"/>
  <c r="J323" i="3" s="1"/>
  <c r="J322" i="1"/>
  <c r="J322" i="3" s="1"/>
  <c r="J321" i="1"/>
  <c r="J321" i="3" s="1"/>
  <c r="H321" i="1"/>
  <c r="H321" i="3" s="1"/>
  <c r="F321" i="1"/>
  <c r="F321" i="3" s="1"/>
  <c r="J320" i="1"/>
  <c r="J320" i="3" s="1"/>
  <c r="H320" i="1"/>
  <c r="H320" i="3" s="1"/>
  <c r="F320" i="1"/>
  <c r="F320" i="3" s="1"/>
  <c r="J319" i="1"/>
  <c r="J319" i="3" s="1"/>
  <c r="J318" i="1"/>
  <c r="J318" i="3" s="1"/>
  <c r="J317" i="1"/>
  <c r="J317" i="3" s="1"/>
  <c r="H317" i="1"/>
  <c r="H317" i="3" s="1"/>
  <c r="F317" i="1"/>
  <c r="F317" i="3" s="1"/>
  <c r="J316" i="1"/>
  <c r="J316" i="3" s="1"/>
  <c r="H316" i="1"/>
  <c r="H316" i="3" s="1"/>
  <c r="F316" i="1"/>
  <c r="F316" i="3" s="1"/>
  <c r="J193" i="1"/>
  <c r="J194" i="3" s="1"/>
  <c r="H193" i="1"/>
  <c r="H194" i="3" s="1"/>
  <c r="F193" i="1"/>
  <c r="F194" i="3" s="1"/>
  <c r="J192" i="1"/>
  <c r="J193" i="3" s="1"/>
  <c r="H192" i="1"/>
  <c r="H193" i="3" s="1"/>
  <c r="F192" i="1"/>
  <c r="F193" i="3" s="1"/>
  <c r="J191" i="1"/>
  <c r="J192" i="3" s="1"/>
  <c r="H191" i="1"/>
  <c r="H192" i="3" s="1"/>
  <c r="F191" i="1"/>
  <c r="F192" i="3" s="1"/>
  <c r="H190" i="1"/>
  <c r="H191" i="3" s="1"/>
  <c r="F190" i="1"/>
  <c r="F191" i="3" s="1"/>
  <c r="D165" i="1"/>
  <c r="D164" i="1"/>
  <c r="D163" i="1"/>
  <c r="J153" i="1"/>
  <c r="J154" i="3" s="1"/>
  <c r="H153" i="1"/>
  <c r="H154" i="3" s="1"/>
  <c r="F153" i="1"/>
  <c r="F154" i="3" s="1"/>
  <c r="J152" i="1"/>
  <c r="J153" i="3" s="1"/>
  <c r="H152" i="1"/>
  <c r="H153" i="3" s="1"/>
  <c r="F152" i="1"/>
  <c r="F153" i="3" s="1"/>
  <c r="J151" i="1"/>
  <c r="J152" i="3" s="1"/>
  <c r="H151" i="1"/>
  <c r="H152" i="3" s="1"/>
  <c r="F151" i="1"/>
  <c r="F152" i="3" s="1"/>
  <c r="J150" i="1"/>
  <c r="J151" i="3" s="1"/>
  <c r="H150" i="1"/>
  <c r="H151" i="3" s="1"/>
  <c r="F150" i="1"/>
  <c r="F151" i="3" s="1"/>
  <c r="D149" i="1"/>
  <c r="J134" i="1"/>
  <c r="J135" i="3" s="1"/>
  <c r="H134" i="1"/>
  <c r="H135" i="3" s="1"/>
  <c r="F134" i="1"/>
  <c r="F135" i="3" s="1"/>
  <c r="J133" i="1"/>
  <c r="J134" i="3" s="1"/>
  <c r="H133" i="1"/>
  <c r="H134" i="3" s="1"/>
  <c r="F133" i="1"/>
  <c r="F134" i="3" s="1"/>
  <c r="J132" i="1"/>
  <c r="J133" i="3" s="1"/>
  <c r="H132" i="1"/>
  <c r="H133" i="3" s="1"/>
  <c r="F132" i="1"/>
  <c r="F133" i="3" s="1"/>
  <c r="J307" i="1"/>
  <c r="J307" i="3" s="1"/>
  <c r="H307" i="1"/>
  <c r="H307" i="3" s="1"/>
  <c r="F307" i="1"/>
  <c r="F307" i="3" s="1"/>
  <c r="J306" i="1"/>
  <c r="J306" i="3" s="1"/>
  <c r="H306" i="1"/>
  <c r="H306" i="3" s="1"/>
  <c r="F306" i="1"/>
  <c r="F306" i="3" s="1"/>
  <c r="J305" i="1"/>
  <c r="J305" i="3" s="1"/>
  <c r="H305" i="1"/>
  <c r="H305" i="3" s="1"/>
  <c r="F305" i="1"/>
  <c r="F305" i="3" s="1"/>
  <c r="J304" i="1"/>
  <c r="J304" i="3" s="1"/>
  <c r="H304" i="1"/>
  <c r="H304" i="3" s="1"/>
  <c r="F304" i="1"/>
  <c r="F304" i="3" s="1"/>
  <c r="J303" i="1"/>
  <c r="J303" i="3" s="1"/>
  <c r="H303" i="1"/>
  <c r="H303" i="3" s="1"/>
  <c r="F303" i="1"/>
  <c r="F303" i="3" s="1"/>
  <c r="J302" i="1"/>
  <c r="J302" i="3" s="1"/>
  <c r="H302" i="1"/>
  <c r="H302" i="3" s="1"/>
  <c r="F302" i="1"/>
  <c r="F302" i="3" s="1"/>
  <c r="J301" i="1"/>
  <c r="J301" i="3" s="1"/>
  <c r="H301" i="1"/>
  <c r="H301" i="3" s="1"/>
  <c r="F301" i="1"/>
  <c r="F301" i="3" s="1"/>
  <c r="J300" i="1"/>
  <c r="J300" i="3" s="1"/>
  <c r="H300" i="1"/>
  <c r="H300" i="3" s="1"/>
  <c r="F300" i="1"/>
  <c r="F300" i="3" s="1"/>
  <c r="J299" i="1"/>
  <c r="J299" i="3" s="1"/>
  <c r="H299" i="1"/>
  <c r="H299" i="3" s="1"/>
  <c r="F299" i="1"/>
  <c r="F299" i="3" s="1"/>
  <c r="H298" i="1"/>
  <c r="H298" i="3" s="1"/>
  <c r="F298" i="1"/>
  <c r="F298" i="3" s="1"/>
  <c r="A92" i="1"/>
  <c r="J86" i="1"/>
  <c r="J86" i="3" s="1"/>
  <c r="H86" i="1"/>
  <c r="H86" i="3" s="1"/>
  <c r="F86" i="1"/>
  <c r="F86" i="3" s="1"/>
  <c r="J85" i="1"/>
  <c r="J85" i="3" s="1"/>
  <c r="H85" i="1"/>
  <c r="H85" i="3" s="1"/>
  <c r="F85" i="1"/>
  <c r="F85" i="3" s="1"/>
  <c r="J84" i="1"/>
  <c r="J84" i="3" s="1"/>
  <c r="H84" i="1"/>
  <c r="H84" i="3" s="1"/>
  <c r="F84" i="1"/>
  <c r="F84" i="3" s="1"/>
  <c r="H83" i="1"/>
  <c r="H83" i="3" s="1"/>
  <c r="F83" i="1"/>
  <c r="F83" i="3" s="1"/>
  <c r="A79" i="1"/>
  <c r="A260" i="1"/>
  <c r="J254" i="1"/>
  <c r="J255" i="3" s="1"/>
  <c r="H254" i="1"/>
  <c r="H255" i="3" s="1"/>
  <c r="F254" i="1"/>
  <c r="F255" i="3" s="1"/>
  <c r="J253" i="1"/>
  <c r="J254" i="3" s="1"/>
  <c r="H253" i="1"/>
  <c r="H254" i="3" s="1"/>
  <c r="F253" i="1"/>
  <c r="F254" i="3" s="1"/>
  <c r="J252" i="1"/>
  <c r="J253" i="3" s="1"/>
  <c r="H252" i="1"/>
  <c r="H253" i="3" s="1"/>
  <c r="F252" i="1"/>
  <c r="F253" i="3" s="1"/>
  <c r="H251" i="1"/>
  <c r="H252" i="3" s="1"/>
  <c r="F251" i="1"/>
  <c r="F252" i="3" s="1"/>
  <c r="A247" i="1"/>
  <c r="A70" i="1"/>
  <c r="J65" i="1"/>
  <c r="J65" i="3" s="1"/>
  <c r="H65" i="1"/>
  <c r="H65" i="3" s="1"/>
  <c r="F65" i="1"/>
  <c r="F65" i="3" s="1"/>
  <c r="A237" i="1"/>
  <c r="J231" i="1"/>
  <c r="J232" i="3" s="1"/>
  <c r="H231" i="1"/>
  <c r="H232" i="3" s="1"/>
  <c r="F231" i="1"/>
  <c r="F232" i="3" s="1"/>
  <c r="A226" i="1"/>
  <c r="A213" i="1"/>
  <c r="D29" i="1"/>
  <c r="D29" i="3" s="1"/>
  <c r="D28" i="1"/>
  <c r="D28" i="3" s="1"/>
  <c r="D27" i="1"/>
  <c r="D27" i="3" s="1"/>
  <c r="J26" i="1"/>
  <c r="J26" i="3" s="1"/>
  <c r="H26" i="1"/>
  <c r="H26" i="3" s="1"/>
  <c r="F26" i="1"/>
  <c r="F26" i="3" s="1"/>
  <c r="J205" i="1"/>
  <c r="J206" i="3" s="1"/>
  <c r="H205" i="1"/>
  <c r="H206" i="3" s="1"/>
  <c r="J204" i="1"/>
  <c r="J205" i="3" s="1"/>
  <c r="H204" i="1"/>
  <c r="H205" i="3" s="1"/>
  <c r="J203" i="1"/>
  <c r="J204" i="3" s="1"/>
  <c r="H203" i="1"/>
  <c r="H204" i="3" s="1"/>
  <c r="J202" i="1"/>
  <c r="J203" i="3" s="1"/>
  <c r="H202" i="1"/>
  <c r="H203" i="3" s="1"/>
  <c r="F202" i="1"/>
  <c r="F203" i="3" s="1"/>
  <c r="D166" i="3" l="1"/>
  <c r="D180" i="3" s="1"/>
  <c r="D150" i="3"/>
  <c r="D220" i="3"/>
  <c r="D221" i="3"/>
  <c r="D219" i="3"/>
  <c r="J148" i="1"/>
  <c r="J149" i="3" s="1"/>
  <c r="J147" i="1"/>
  <c r="J148" i="3" s="1"/>
  <c r="F149" i="1"/>
  <c r="F150" i="3" s="1"/>
  <c r="D177" i="1"/>
  <c r="H147" i="1"/>
  <c r="H148" i="3" s="1"/>
  <c r="F148" i="1"/>
  <c r="F149" i="3" s="1"/>
  <c r="H149" i="1"/>
  <c r="H150" i="3" s="1"/>
  <c r="D178" i="1"/>
  <c r="F15" i="1"/>
  <c r="F15" i="3" s="1"/>
  <c r="J27" i="1"/>
  <c r="J27" i="3" s="1"/>
  <c r="H15" i="1"/>
  <c r="H15" i="3" s="1"/>
  <c r="J28" i="1"/>
  <c r="J28" i="3" s="1"/>
  <c r="J15" i="1"/>
  <c r="J15" i="3" s="1"/>
  <c r="J29" i="1"/>
  <c r="J29" i="3" s="1"/>
  <c r="F147" i="1"/>
  <c r="F148" i="3" s="1"/>
  <c r="H148" i="1"/>
  <c r="H149" i="3" s="1"/>
  <c r="J149" i="1"/>
  <c r="J150" i="3" s="1"/>
  <c r="D179" i="1"/>
  <c r="H18" i="1"/>
  <c r="H18" i="3" s="1"/>
  <c r="J16" i="1"/>
  <c r="J16" i="3" s="1"/>
  <c r="J18" i="1"/>
  <c r="J18" i="3" s="1"/>
  <c r="H16" i="1"/>
  <c r="H16" i="3" s="1"/>
  <c r="H17" i="1"/>
  <c r="H17" i="3" s="1"/>
  <c r="J17" i="1"/>
  <c r="J17" i="3" s="1"/>
  <c r="F28" i="1"/>
  <c r="F28" i="3" s="1"/>
  <c r="F27" i="1"/>
  <c r="F27" i="3" s="1"/>
  <c r="F29" i="1"/>
  <c r="F29" i="3" s="1"/>
  <c r="H27" i="1"/>
  <c r="H27" i="3" s="1"/>
  <c r="H28" i="1"/>
  <c r="H28" i="3" s="1"/>
  <c r="H29" i="1"/>
  <c r="H29" i="3" s="1"/>
</calcChain>
</file>

<file path=xl/sharedStrings.xml><?xml version="1.0" encoding="utf-8"?>
<sst xmlns="http://schemas.openxmlformats.org/spreadsheetml/2006/main" count="1670" uniqueCount="571">
  <si>
    <t>* All prices subject to change without notice.  Contact StorageCraft for the most current pricing.</t>
  </si>
  <si>
    <t>StorageCraft ShadowProtect Server (v 5.x) - SRP</t>
  </si>
  <si>
    <t>First year of maintenance is included in the purchase price.  *Premium Support requires an active Maintenance Agreement.</t>
  </si>
  <si>
    <t>Published SRP</t>
  </si>
  <si>
    <t>New</t>
  </si>
  <si>
    <t>Upgrade</t>
  </si>
  <si>
    <t>1Yr Maintenance
Renewal</t>
  </si>
  <si>
    <t xml:space="preserve">Premium Support </t>
  </si>
  <si>
    <t>Includes one year of Maintenance</t>
  </si>
  <si>
    <t>Quantity</t>
  </si>
  <si>
    <t>Discount Level</t>
  </si>
  <si>
    <t>Discount off  single user license</t>
  </si>
  <si>
    <t>Price</t>
  </si>
  <si>
    <t>Part Number</t>
  </si>
  <si>
    <t>1 - 9</t>
  </si>
  <si>
    <t>Z</t>
  </si>
  <si>
    <t>SSPS50USPS0100ZZZ</t>
  </si>
  <si>
    <t>SSPS50USUS0100ZZZ</t>
  </si>
  <si>
    <t>SSPS50USMS011YZZZ</t>
  </si>
  <si>
    <t>SSPS50USSS011YZZZ</t>
  </si>
  <si>
    <t>10 - 49</t>
  </si>
  <si>
    <t>A</t>
  </si>
  <si>
    <t>SSPS50USPS0100ZZA</t>
  </si>
  <si>
    <t>SSPS50USUS0100ZZA</t>
  </si>
  <si>
    <t>SSPS50USMS011YZZA</t>
  </si>
  <si>
    <t>SSPS50USSS011YZZA</t>
  </si>
  <si>
    <t>50 - 199</t>
  </si>
  <si>
    <t>B</t>
  </si>
  <si>
    <t>SSPS50USPS0100ZZB</t>
  </si>
  <si>
    <t>SSPS50USUS0100ZZB</t>
  </si>
  <si>
    <t>SSPS50USMS011YZZB</t>
  </si>
  <si>
    <t>SSPS50USSS011YZZB</t>
  </si>
  <si>
    <t>200 - 399</t>
  </si>
  <si>
    <t>C</t>
  </si>
  <si>
    <t>SSPS50USPS0100ZZC</t>
  </si>
  <si>
    <t>SSPS50USUS0100ZZC</t>
  </si>
  <si>
    <t>SSPS50USMS011YZZC</t>
  </si>
  <si>
    <t>SSPS50USSS011YZZC</t>
  </si>
  <si>
    <t>Upgrade from ShadowProtect for Small Business - Under Maintenance *</t>
  </si>
  <si>
    <t>SUPS50USUS0100ZPZ</t>
  </si>
  <si>
    <t>N/A</t>
  </si>
  <si>
    <t>Upgrade from ShadowProtect for Small Business - Not Under Maintenance</t>
  </si>
  <si>
    <t>SUPP50USUS0100ZPZ</t>
  </si>
  <si>
    <t>* Upgrade from ShadowProtect for Small Business that is currently Under Maintenance does not include one year of maintenance.  Existing maintenance terms remain unchanged.</t>
  </si>
  <si>
    <t>StorageCraft ShadowProtect SPX  Server (Linux) - SRP</t>
  </si>
  <si>
    <t>XSPX00USPS0100ZZZ</t>
  </si>
  <si>
    <t>XSPX00USUS0100ZZZ</t>
  </si>
  <si>
    <t>XSPX00USMS011YZZZ</t>
  </si>
  <si>
    <t>XSPX00USSS011YZZZ</t>
  </si>
  <si>
    <t>XSPX00USPS0100ZZA</t>
  </si>
  <si>
    <t>XSPX00USUS0100ZZA</t>
  </si>
  <si>
    <t>XSPX00USMS011YZZA</t>
  </si>
  <si>
    <t>XSPX00USSS011YZZA</t>
  </si>
  <si>
    <t>XSPX00USPS0100ZZB</t>
  </si>
  <si>
    <t>XSPX00USUS0100ZZB</t>
  </si>
  <si>
    <t>XSPX00USMS011YZZB</t>
  </si>
  <si>
    <t>XSPX00USSS011YZZB</t>
  </si>
  <si>
    <t>XSPX00USPS0100ZZC</t>
  </si>
  <si>
    <t>XSPX00USUS0100ZZC</t>
  </si>
  <si>
    <t>XSPX00USMS011YZZC</t>
  </si>
  <si>
    <t>XSPX00USSS011YZZC</t>
  </si>
  <si>
    <t>StorageCraft ShadowProtect  SPX Server (Windows) - SRP</t>
  </si>
  <si>
    <t>XSXW00USPS0100ZZZ</t>
  </si>
  <si>
    <t>XSXW00USUS0100ZZZ</t>
  </si>
  <si>
    <t>XSXW00USMS011YZZZ</t>
  </si>
  <si>
    <t>XSXW00USSS011YZZZ</t>
  </si>
  <si>
    <t>XSXW00USPS0100ZZA</t>
  </si>
  <si>
    <t>XSXW00USUS0100ZZA</t>
  </si>
  <si>
    <t>XSXW00USMS011YZZA</t>
  </si>
  <si>
    <t>XSXW00USSS011YZZA</t>
  </si>
  <si>
    <t>XSXW00USPS0100ZZB</t>
  </si>
  <si>
    <t>XSXW00USUS0100ZZB</t>
  </si>
  <si>
    <t>XSXW00USMS011YZZB</t>
  </si>
  <si>
    <t>XSXW00USSS011YZZB</t>
  </si>
  <si>
    <t>XSXW00USPS0100ZZC</t>
  </si>
  <si>
    <t>XSXW00USUS0100ZZC</t>
  </si>
  <si>
    <t>XSXW00USMS011YZZC</t>
  </si>
  <si>
    <t>XSXW00USSS011YZZC</t>
  </si>
  <si>
    <t>StorageCraft ShadowProtect Server (v 5.x)</t>
  </si>
  <si>
    <t>Competitive Upgrade Pricing * - SRP - Proof of Purchase or License Required</t>
  </si>
  <si>
    <t>Competitive Upgrade Price - SRP</t>
  </si>
  <si>
    <t>Minimum
Quantity</t>
  </si>
  <si>
    <t>Competitive
Upgrade
Price</t>
  </si>
  <si>
    <t>SSPS50USPC0100ZZZ</t>
  </si>
  <si>
    <t>Use Standard
SRP Upgrade Pricing</t>
  </si>
  <si>
    <t>Use Standard
SRP Maintenance Renewal
Pricing</t>
  </si>
  <si>
    <t>Use Standard
SRP Premium Support
Pricing</t>
  </si>
  <si>
    <t>SSPS50USPC0100ZZA</t>
  </si>
  <si>
    <t>SSPS50USPC0100ZZB</t>
  </si>
  <si>
    <t>SSPS50USPC0100ZZC</t>
  </si>
  <si>
    <t>* Valid competitors include:  Acronis, Symantec, AppAssure, Unitrends, Axcient, CA D2D, Barracuda, Intronis,  Paragon, and Evault.</t>
  </si>
  <si>
    <t>*Competitive Upgrades available only through Lifeboat Distribution or Synnex</t>
  </si>
  <si>
    <t>StorageCraft ShadowProtect SPX Server (Linux)</t>
  </si>
  <si>
    <t>XSPX00USPC0100ZZZ</t>
  </si>
  <si>
    <t>XSPX00USPC0100ZZA</t>
  </si>
  <si>
    <t>XSPX00USPC0100ZZB</t>
  </si>
  <si>
    <t>XSPX00USPC0100ZZC</t>
  </si>
  <si>
    <t>StorageCraft ShadowProtect SPX Server (Windows)</t>
  </si>
  <si>
    <t>XSXW00USPC0100ZZZ</t>
  </si>
  <si>
    <t>XSXW00USPC0100ZZA</t>
  </si>
  <si>
    <t>XSXW00USPC0100ZZB</t>
  </si>
  <si>
    <t>XSXW00USPC0100ZZC</t>
  </si>
  <si>
    <t>StorageCraft ShadowProtect for Small Business  - SRP</t>
  </si>
  <si>
    <t>Product</t>
  </si>
  <si>
    <t xml:space="preserve">StorageCraft ShadowProtect for Small Business 5.x </t>
  </si>
  <si>
    <t>BSBS50USPS0100ZZZ</t>
  </si>
  <si>
    <t>BSBS50USUS0100ZZZ</t>
  </si>
  <si>
    <t>BSBS50USMS011YZZZ</t>
  </si>
  <si>
    <t>BSBS50USSS011YZZZ</t>
  </si>
  <si>
    <t>StorageCraft ShadowProtect for Small Business Premium (2 License)</t>
  </si>
  <si>
    <t>BSBP50USUS0200ZZZ</t>
  </si>
  <si>
    <t>BSBP50USMS021YZZZ</t>
  </si>
  <si>
    <t>BSBP50USSS021YZZZ</t>
  </si>
  <si>
    <t>StorageCraft ShadowProtect for Small Business (v 5.x) - SRP</t>
  </si>
  <si>
    <t>Competitive Upgrade Pricing *  - Proof of Purchase or License Required</t>
  </si>
  <si>
    <t>BSBS50USPC0100ZZZ</t>
  </si>
  <si>
    <t>Use Standard SRP
Upgrade Pricing</t>
  </si>
  <si>
    <t>Use Standard SRP
Maintenance Renewal Pricing</t>
  </si>
  <si>
    <t>Use Standard SRP
Premium Support Pricing</t>
  </si>
  <si>
    <t>StorageCraft ShadowProtect SPX for Small Business (Windows) - SRP</t>
  </si>
  <si>
    <t>StorageCraft ShadowProtect SPX for Small Business (Windows)</t>
  </si>
  <si>
    <t>QBUS00USPS0100ZZZ</t>
  </si>
  <si>
    <t>QBUS00USUS0100ZZZ</t>
  </si>
  <si>
    <t>QBUS00USMS011YZZZ</t>
  </si>
  <si>
    <t>QBUS00USSS011YZZZ</t>
  </si>
  <si>
    <t>StorageCraft ShadowProtect SPX for Small Business (Windows -2 License)</t>
  </si>
  <si>
    <t>QSXP00USUS0200ZZZ</t>
  </si>
  <si>
    <t>QSXP00USMS021YZZZ</t>
  </si>
  <si>
    <t>QSXP00USSS021YZZZ</t>
  </si>
  <si>
    <t>QBUS00USPC0100ZZZ</t>
  </si>
  <si>
    <t>StorageCraft ShadowProtect Desktop (v 5.x) - SRP</t>
  </si>
  <si>
    <t>1 - 19</t>
  </si>
  <si>
    <t>DSPD50USPS0100ZZZ</t>
  </si>
  <si>
    <t>DSPD50USUS0100ZZZ</t>
  </si>
  <si>
    <t>DSPD50USMS011YZZZ</t>
  </si>
  <si>
    <t>20 - 99</t>
  </si>
  <si>
    <t>DSPD50USPS0100ZZA</t>
  </si>
  <si>
    <t>DSPD50USUS0100ZZA</t>
  </si>
  <si>
    <t>DSPD50USMS011YZZA</t>
  </si>
  <si>
    <t>DSPD50USSS011YZZA</t>
  </si>
  <si>
    <t>100 - 499</t>
  </si>
  <si>
    <t>DSPD50USPS0100ZZB</t>
  </si>
  <si>
    <t>DSPD50USUS0100ZZB</t>
  </si>
  <si>
    <t>DSPD50USMS011YZZB</t>
  </si>
  <si>
    <t>DSPD50USSS011YZZB</t>
  </si>
  <si>
    <t>500 - 1999</t>
  </si>
  <si>
    <t>DSPD50USPS0100ZZC</t>
  </si>
  <si>
    <t>DSPD50USUS0100ZZC</t>
  </si>
  <si>
    <t>DSPD50USMS011YZZC</t>
  </si>
  <si>
    <t>DSPD50USSS011YZZC</t>
  </si>
  <si>
    <t>DSPD50USPC0100ZZZ</t>
  </si>
  <si>
    <t>DSPD50USPC0100ZZA</t>
  </si>
  <si>
    <t>DSPD50USPC0100ZZB</t>
  </si>
  <si>
    <t>DSPD50USPC0100ZZC</t>
  </si>
  <si>
    <t>StorageCraft ShadowProtect SPX Desktop (Windows) - SRP</t>
  </si>
  <si>
    <t>KXDW00USPS0100ZZZ</t>
  </si>
  <si>
    <t>KXDW00USUS0100ZZZ</t>
  </si>
  <si>
    <t>KXDW00USMS011YZZZ</t>
  </si>
  <si>
    <t>KXDW00USPS0100ZZA</t>
  </si>
  <si>
    <t>KXDW00USUS0100ZZA</t>
  </si>
  <si>
    <t>KXDW00USMS011YZZA</t>
  </si>
  <si>
    <t>KXDW00USSS011YZZA</t>
  </si>
  <si>
    <t>KXDW00USPS0100ZZB</t>
  </si>
  <si>
    <t>KXDW00USUS0100ZZB</t>
  </si>
  <si>
    <t>KXDW00USMS011YZZB</t>
  </si>
  <si>
    <t>KXDW00USSS011YZZB</t>
  </si>
  <si>
    <t>KXDW00USPS0100ZZC</t>
  </si>
  <si>
    <t>KXDW00USUS0100ZZC</t>
  </si>
  <si>
    <t>KXDW00USMS011YZZC</t>
  </si>
  <si>
    <t>KXDW00USSS011YZZC</t>
  </si>
  <si>
    <t>KXDW00USPC0100ZZZ</t>
  </si>
  <si>
    <t>KXDW00USPC0100ZZA</t>
  </si>
  <si>
    <t>KXDW00USPC0100ZZB</t>
  </si>
  <si>
    <t>KXDW00USPC0100ZZC</t>
  </si>
  <si>
    <t>StorageCraft ShadowProtect IT Edition (v 5.x) - SRP</t>
  </si>
  <si>
    <t>Upgrades, Updates, and Standard Support Included during subscription</t>
  </si>
  <si>
    <t>Renewal</t>
  </si>
  <si>
    <t>Maintenance</t>
  </si>
  <si>
    <t>Premium Support</t>
  </si>
  <si>
    <t>IT Edition - First 1-Year License</t>
  </si>
  <si>
    <t>ISPI50USNS011YZZZ</t>
  </si>
  <si>
    <t>ISPI50USNS011YZRZ</t>
  </si>
  <si>
    <t>Incident Support
Only</t>
  </si>
  <si>
    <t>IT Edition - Each Additional 1-Year License</t>
  </si>
  <si>
    <t>IADD50USNS011YZZZ</t>
  </si>
  <si>
    <t>IADD50USNS011YZRZ</t>
  </si>
  <si>
    <t>IT Edition - 3 Month License</t>
  </si>
  <si>
    <t>ISPI50USNS013MZZZ</t>
  </si>
  <si>
    <t>ISPI50USNS013MZRZ</t>
  </si>
  <si>
    <t>IT Edition - 1 Month License</t>
  </si>
  <si>
    <t>ISPI50USNS011MZZZ</t>
  </si>
  <si>
    <t>ISPI50USNS011MZRZ</t>
  </si>
  <si>
    <t>IT Edition - 2 Week License</t>
  </si>
  <si>
    <t>ISPI50USNS012WZZZ</t>
  </si>
  <si>
    <t>ISPI50USNS012WZRZ</t>
  </si>
  <si>
    <t>IT Edition USB Key *</t>
  </si>
  <si>
    <t>IUSB50USXS0100ZZZ</t>
  </si>
  <si>
    <t>IT Edition Pro - First 1-Year License</t>
  </si>
  <si>
    <t>IPRO50USNS011YZZZ</t>
  </si>
  <si>
    <t>IPRO50USNS011YZRZ</t>
  </si>
  <si>
    <t>IT Edition Pro - Each Additional 1-Year License</t>
  </si>
  <si>
    <t>IADP50USNS011YZZZ</t>
  </si>
  <si>
    <t>IADP50USNS011YZRZ</t>
  </si>
  <si>
    <t>IT Edition Pro - 3 Month License</t>
  </si>
  <si>
    <t>IPRO50USNS013MZZZ</t>
  </si>
  <si>
    <t>IPRO50USNS013MZRZ</t>
  </si>
  <si>
    <t>IT Edition Pro - 1 Month License</t>
  </si>
  <si>
    <t>IPRO50USNS011MZZZ</t>
  </si>
  <si>
    <t>IPRO50USNS011MZRZ</t>
  </si>
  <si>
    <t>IT Edition Pro - 2 Week License</t>
  </si>
  <si>
    <t>IPRO50USNS012WZZZ</t>
  </si>
  <si>
    <t>IPRO50USNS012WZRZ</t>
  </si>
  <si>
    <t>IUSP50USXS0100ZZZ</t>
  </si>
  <si>
    <t>Multiple years of ShadowProtect IT Edition (up to three years) can be purchased by ordering the normal 1-year SKU (quantity 1) and then the corresponding renewal SKU (quantity up to 2).</t>
  </si>
  <si>
    <t>ShadowProtect IT Edition Pro includes StorageCraft ShadowProtect Granular Recovery for Exchange.</t>
  </si>
  <si>
    <t>*Purchase of USB Key is required with all new ShadowProtect IT Edition licenses.</t>
  </si>
  <si>
    <t>Packs and Special Editions - SRP</t>
  </si>
  <si>
    <t>StorageCraft ShadowProtect Desktop 5.x - (10 License)</t>
  </si>
  <si>
    <t>StorageCraft ShadowProtect Desktop Bundle 5.x - (3 License)</t>
  </si>
  <si>
    <t>StorageCraft ShadowProtect SPX Desktop  (Windows - 10 License)</t>
  </si>
  <si>
    <t>StorageCraft ShadowProtect SPX Desktop Bundle (Windows - 3 License)</t>
  </si>
  <si>
    <t>StorageCraft ShadowProtect Server 5.x - (3 License)</t>
  </si>
  <si>
    <t>StorageCraft ShadowProtect Server 5.x with
10 ShadowProtect Desktop 5.x Licenses</t>
  </si>
  <si>
    <t>StorageCraft ShadowProtect SPX Server (Linux-3 License)</t>
  </si>
  <si>
    <t>StorageCraft ShadowProtect SPXServer  Windows  - (3 License)</t>
  </si>
  <si>
    <t>StorageCraft ShadowProtect SPX Server (Windows)  with
10 StorageCraft ShadowProtect SPX Desktop  (Windows)  Licenses</t>
  </si>
  <si>
    <t>StorageCraft ShadowProtect for Small Business 5.x with
10 ShadowProtect Desktop 5.x Licenses</t>
  </si>
  <si>
    <t>StorageCraft ShadowProtect SPX for Small Business with
10 StorageCraft ShadowProtect SPX Desktop (Windows) 5.x Licenses</t>
  </si>
  <si>
    <t>StorageCraft ShadowProtect Virtual  - SRP</t>
  </si>
  <si>
    <t>StorageCraft ShadowProtect Virtual: Desktop 6-Pack</t>
  </si>
  <si>
    <t>DSDV50USPS0600ZZZ</t>
  </si>
  <si>
    <t>DSDV50USUS0600ZZZ</t>
  </si>
  <si>
    <t>DSDV50USMS061YZZZ</t>
  </si>
  <si>
    <t>StorageCraft ShadowProtect Virtual: Desktop 12-Pack</t>
  </si>
  <si>
    <t>DSDV50USPS1200ZZZ</t>
  </si>
  <si>
    <t>DSDV50USUS1200ZZZ</t>
  </si>
  <si>
    <t>DSDV50USMS121YZZZ</t>
  </si>
  <si>
    <t>DSDV50USSS121YZZZ</t>
  </si>
  <si>
    <t>StorageCraft ShadowProtect Virtual: Desktop 24 Pack</t>
  </si>
  <si>
    <t>DSDV50USPS2400ZZZ</t>
  </si>
  <si>
    <t>DSDV50USUS2400ZZZ</t>
  </si>
  <si>
    <t>DSDV50USMS241YZZZ</t>
  </si>
  <si>
    <t>DSDV50USSS241YZZZ</t>
  </si>
  <si>
    <t>StorageCraft ShadowProtect Virtual: Desktop 50-Pack</t>
  </si>
  <si>
    <t>DSDV50USPS5000ZZZ</t>
  </si>
  <si>
    <t>DSDV50USUS5000ZZZ</t>
  </si>
  <si>
    <t>DSDV50USMS501YZZZ</t>
  </si>
  <si>
    <t>DSDV50USSS501YZZZ</t>
  </si>
  <si>
    <t>StorageCraft ShadowProtect Virtual: Server 1-Pack</t>
  </si>
  <si>
    <t>SSSV50USPS0100ZZZ</t>
  </si>
  <si>
    <t>SSSV50USUS0100ZZZ</t>
  </si>
  <si>
    <t>SSSV50USMS011YZZZ</t>
  </si>
  <si>
    <t>SSSV50USSS011YZZZ</t>
  </si>
  <si>
    <t>StorageCraft ShadowProtect Virtual: Server 3-Pack</t>
  </si>
  <si>
    <t>SSSV50USPS0300ZZZ</t>
  </si>
  <si>
    <t>SSSV50USUS0300ZZZ</t>
  </si>
  <si>
    <t>SSSV50USMS031YZZZ</t>
  </si>
  <si>
    <t>SSSV50USSS031YZZZ</t>
  </si>
  <si>
    <t>StorageCraft ShadowProtect Virtual: Server 6-Pack</t>
  </si>
  <si>
    <t>SSSV50USPS0600ZZZ</t>
  </si>
  <si>
    <t>SSSV50USUS0600ZZZ</t>
  </si>
  <si>
    <t>SSSV50USMS061YZZZ</t>
  </si>
  <si>
    <t>SSSV50USSS061YZZZ</t>
  </si>
  <si>
    <t>StorageCraft ShadowProtect Virtual: Server 12-Pack</t>
  </si>
  <si>
    <t>SSSV50USPS1200ZZZ</t>
  </si>
  <si>
    <t>SSSV50USUS1200ZZZ</t>
  </si>
  <si>
    <t>SSSV50USMS121YZZZ</t>
  </si>
  <si>
    <t>SSSV50USSS121YZZZ</t>
  </si>
  <si>
    <t>StorageCraft ShadowProtect Virtual: Server 24-Pack</t>
  </si>
  <si>
    <t>SSSV50USPS2400ZZZ</t>
  </si>
  <si>
    <t>SSSV50USUS2400ZZZ</t>
  </si>
  <si>
    <t>SSSV50USMS241YZZZ</t>
  </si>
  <si>
    <t>SSSV50USSS241YZZZ</t>
  </si>
  <si>
    <t>StorageCraft ShadowProtect Virtual: Server 50-Pack</t>
  </si>
  <si>
    <t>SSSV50USPS5000ZZZ</t>
  </si>
  <si>
    <t>SSSV50USUS5000ZZZ</t>
  </si>
  <si>
    <t>SSSV50USMS501YZZZ</t>
  </si>
  <si>
    <t>SSSV50USSS501YZZZ</t>
  </si>
  <si>
    <t>* Virtualization bundles may be installed inside VMWare ESX / ESXi, Hyper-V, and Xen virtual machines.</t>
  </si>
  <si>
    <t>StorageCraft ShadowProtect SPX  (Virtual - Socket Licensing) - SRP</t>
  </si>
  <si>
    <t>StorageCraft ShadowProtect SPX Virtual — Essentials Edition (2 socket bundle*)</t>
  </si>
  <si>
    <t>XESS00USPS0100ZZZ</t>
  </si>
  <si>
    <t>XESS00USUS0100ZZZ</t>
  </si>
  <si>
    <t>XESS00USMS011YZZZ</t>
  </si>
  <si>
    <t>XESS00USSS011YZZZ</t>
  </si>
  <si>
    <t>StorageCraft ShadowProtect SPX Virtual — Standard Edition(1 Socket)</t>
  </si>
  <si>
    <t>XSTD00USPS0100ZZZ</t>
  </si>
  <si>
    <t>XSTD00USUS0100ZZZ</t>
  </si>
  <si>
    <t>XSTD00USMS011YZZZ</t>
  </si>
  <si>
    <t>XSTD00USSS011YZZZ</t>
  </si>
  <si>
    <t>Upgrade from 3 Essentials (6 sockets) to  6 Standard *</t>
  </si>
  <si>
    <t>XEUM00USUS0100ZPZ</t>
  </si>
  <si>
    <t>* SPX Virtual Essentials is limited to six sockets per company.</t>
  </si>
  <si>
    <t>* Virtualization bundles may be installed inside VMWare ESXi and Hyper-V  virtual machines.</t>
  </si>
  <si>
    <t>* Upgrade from SPX Virtual Essentials to Standard does not  include a year of maintenance.  Existing maintenance terms remain unchanged. Upgrade requires SPX Virtual Essentials to be currently under maintenance</t>
  </si>
  <si>
    <t>XESS00USPC0100ZZZ</t>
  </si>
  <si>
    <t>XSTD00USPC0100ZZZ</t>
  </si>
  <si>
    <t>StorageCraft ShadowProtect SPX (Linux – Virtual Server) - SRP</t>
  </si>
  <si>
    <t>StorageCraft ShadowProtect SPX (Linux – Virtual Server): 1-Pack</t>
  </si>
  <si>
    <t>XSVS00USPS0100ZZZ</t>
  </si>
  <si>
    <t>XSVS00USUS0100ZZZ</t>
  </si>
  <si>
    <t>XSVS00USMS011YZZZ</t>
  </si>
  <si>
    <t>XSVS00USSS011YZZZ</t>
  </si>
  <si>
    <t>StorageCraft ShadowProtect SPX (Linux – Virtual Server): 3-Pack</t>
  </si>
  <si>
    <t>XSVS00USPS0300ZZZ</t>
  </si>
  <si>
    <t>XSVS00USUS0300ZZZ</t>
  </si>
  <si>
    <t>XSVS00USMS031YZZZ</t>
  </si>
  <si>
    <t>XSVS00USSS031YZZZ</t>
  </si>
  <si>
    <t>StorageCraft ShadowProtect SPX (Linux – Virtual Server): 10-Pack</t>
  </si>
  <si>
    <t>XSVS00USPS1000ZZZ</t>
  </si>
  <si>
    <t>XSVS00USUS1000ZZZ</t>
  </si>
  <si>
    <t>XSVS00USMS101YZZZ</t>
  </si>
  <si>
    <t>XSVS00USSS101YZZZ</t>
  </si>
  <si>
    <t>StorageCraft ShadowProtect SPX (Linux – Virtual Server): 6-Pack</t>
  </si>
  <si>
    <t>No Longer Availiable</t>
  </si>
  <si>
    <t>XSVS00USUS0600ZZZ</t>
  </si>
  <si>
    <t>XSVS00USMS061YZZZ</t>
  </si>
  <si>
    <t>XSVS00USSS061YZZZ</t>
  </si>
  <si>
    <t>StorageCraft ShadowProtect SPX (Linux – Virtual Server): 12-Pack</t>
  </si>
  <si>
    <t>XSVS00USUS1200ZZZ</t>
  </si>
  <si>
    <t>XSVS00USMS121YZZZ</t>
  </si>
  <si>
    <t>XSVS00USSS121YZZZ</t>
  </si>
  <si>
    <t>StorageCraft ShadowProtect SPX (Linux – Virtual Server): 24-Pack</t>
  </si>
  <si>
    <t>XSVS00USUS2400ZZZ</t>
  </si>
  <si>
    <t>XSVS00USMS241YZZZ</t>
  </si>
  <si>
    <t>XSVS00USSS241YZZZ</t>
  </si>
  <si>
    <t>StorageCraft ShadowProtect SPX (Linux – Virtual Server): 50-Pack</t>
  </si>
  <si>
    <t>XSVS00USUS5000ZZZ</t>
  </si>
  <si>
    <t>XSVS00USMS501YZZZ</t>
  </si>
  <si>
    <t>XSVS00USSS501YZZZ</t>
  </si>
  <si>
    <t>StorageCraft ShadowProtect SPX (Windows – Virtual Server) - SRP</t>
  </si>
  <si>
    <t>StorageCraft ShadowProtect SPX (Windows – Virtual Server): 1-Pack</t>
  </si>
  <si>
    <t>XSVW00USPS0100ZZZ</t>
  </si>
  <si>
    <t>XSVW00USUS0100ZZZ</t>
  </si>
  <si>
    <t>XSVW00USMS011YZZZ</t>
  </si>
  <si>
    <t>XSVW00USSS011YZZZ</t>
  </si>
  <si>
    <t>StorageCraft ShadowProtect SPX (Windows – Virtual Server): 3-Pack</t>
  </si>
  <si>
    <t>XSVW00USPS0300ZZZ</t>
  </si>
  <si>
    <t>XSVW00USUS0300ZZZ</t>
  </si>
  <si>
    <t>XSVW00USMS031YZZZ</t>
  </si>
  <si>
    <t>XSVW00USSS031YZZZ</t>
  </si>
  <si>
    <t>StorageCraft ShadowProtect SPX (Windows – Virtual Server): 10-Pack</t>
  </si>
  <si>
    <t>XSVW00USPS1000ZZZ</t>
  </si>
  <si>
    <t>XSVW00USUS1000ZZZ</t>
  </si>
  <si>
    <t>XSVW00USMS101YZZZ</t>
  </si>
  <si>
    <t>XSVW00USSS101YZZZ</t>
  </si>
  <si>
    <t>StorageCraft ShadowProtect SPX (Windows – Virtual Server): 6-Pack</t>
  </si>
  <si>
    <t>XSVW00USUS0600ZZZ</t>
  </si>
  <si>
    <t>XSVW00USMS061YZZZ</t>
  </si>
  <si>
    <t>XSVW00USSS061YZZZ</t>
  </si>
  <si>
    <t>StorageCraft ShadowProtect SPX (Windows – Virtual Server): 12-Pack</t>
  </si>
  <si>
    <t>XSVW00USUS1200ZZZ</t>
  </si>
  <si>
    <t>XSVW00USMS121YZZZ</t>
  </si>
  <si>
    <t>XSVW00USSS121YZZZ</t>
  </si>
  <si>
    <t>StorageCraft ShadowProtect SPX (Windows – Virtual Server): 24-Pack</t>
  </si>
  <si>
    <t>XSVW00USUS2400ZZZ</t>
  </si>
  <si>
    <t>XSVW00USMS241YZZZ</t>
  </si>
  <si>
    <t>XSVW00USSS241YZZZ</t>
  </si>
  <si>
    <t>StorageCraft ShadowProtect SPX (Windows – Virtual Server): 50-Pack</t>
  </si>
  <si>
    <t>XSVW00USUS5000ZZZ</t>
  </si>
  <si>
    <t>XSVW00USMS501YZZZ</t>
  </si>
  <si>
    <t>XSVW00USSS501YZZZ</t>
  </si>
  <si>
    <t>XSVS00USPC0100ZZZ</t>
  </si>
  <si>
    <t>XSVS00USPC0300ZZZ</t>
  </si>
  <si>
    <t>XSVS00USPC1000ZZZ</t>
  </si>
  <si>
    <t>XSVW00USPC0100ZZZ</t>
  </si>
  <si>
    <t>XSVW00USPC0300ZZZ</t>
  </si>
  <si>
    <t>XSVW00USPC1000ZZZ</t>
  </si>
  <si>
    <t>StorageCraft ShadowProtect SPX Virtual Desktop  (Windows-Virtual) - SRP</t>
  </si>
  <si>
    <t>StorageCraft ShadowProtect SPX Virtual Desktop (Windows) 6-Pack</t>
  </si>
  <si>
    <t>KXWK00USPS0600ZZZ</t>
  </si>
  <si>
    <t>KXWK00USUS0600ZZZ</t>
  </si>
  <si>
    <t>KXWK00USMS061YZZZ</t>
  </si>
  <si>
    <t>StorageCraft ShadowProtect SPX Virtual Desktop (Windows) 12-Pack</t>
  </si>
  <si>
    <t>KXWK00USPS1200ZZZ</t>
  </si>
  <si>
    <t>KXWK00USUS1200ZZZ</t>
  </si>
  <si>
    <t>KXWK00USMS121YZZZ</t>
  </si>
  <si>
    <t>KXWK00USSS121YZZZ</t>
  </si>
  <si>
    <t>StorageCraft ShadowProtect SPX Virtual Desktop (Windows) 24 Pack</t>
  </si>
  <si>
    <t>KXWK00USPS2400ZZZ</t>
  </si>
  <si>
    <t>KXWK00USUS2400ZZZ</t>
  </si>
  <si>
    <t>KXWK00USMS241YZZZ</t>
  </si>
  <si>
    <t>KXWK00USSS241YZZZ</t>
  </si>
  <si>
    <t>StorageCraft ShadowProtect SPX Virtual Desktop (Windows) 50-Pack</t>
  </si>
  <si>
    <t>KXWK00USPS5000ZZZ</t>
  </si>
  <si>
    <t>KXWK00USUS5000ZZZ</t>
  </si>
  <si>
    <t>KXWK00USMS501YZZZ</t>
  </si>
  <si>
    <t>KXWK00USSS501YZZZ</t>
  </si>
  <si>
    <t>StorageCraft ShadowProtect Granular Recovery for Exchange (v 8.x) - SRP</t>
  </si>
  <si>
    <t>First year of maintenance is included in the purchase price.  *Premium Support requires an active Maintenance Agreement</t>
  </si>
  <si>
    <t>ShadowProtect GRE 8 - 250 Mailbox</t>
  </si>
  <si>
    <t>G25080USPS0100ZZZ</t>
  </si>
  <si>
    <t>G25080USUS0100ZZZ</t>
  </si>
  <si>
    <t>G25080USMS011YZZZ</t>
  </si>
  <si>
    <t>G25080USSS011YZZZ</t>
  </si>
  <si>
    <t>ShadowProtect GRE 8 - Unlimited Mailboxes</t>
  </si>
  <si>
    <t>GULM80USPS0100ZZZ</t>
  </si>
  <si>
    <t>GULM80USUS0100ZZZ</t>
  </si>
  <si>
    <t>GULM80USMS011YZZZ</t>
  </si>
  <si>
    <t>GULM80USSS011YZZZ</t>
  </si>
  <si>
    <t>ShadowProtect GRE 8 - Project License</t>
  </si>
  <si>
    <t>GPRJ80USPS012MZZZ</t>
  </si>
  <si>
    <t>GPRJ80USSS012MZZZ</t>
  </si>
  <si>
    <t>ShadowProtect GRE 8 - Upgrade from 250 to Unlim</t>
  </si>
  <si>
    <t>GULU80USUS0100ZPZ</t>
  </si>
  <si>
    <t>GULU80USSS011YZPZ</t>
  </si>
  <si>
    <t>StorageCraft GRE 8 Direct EDB - 250 Mailbox</t>
  </si>
  <si>
    <t>GD2580USPS0100ZZZ</t>
  </si>
  <si>
    <t>GD2580USUS0100ZZZ</t>
  </si>
  <si>
    <t>GD2580USMS011YZZZ</t>
  </si>
  <si>
    <t>GD2580USSS011YZZZ</t>
  </si>
  <si>
    <t>StorageCraft GRE 8 - Direct EDB Unlimited Mailboxes</t>
  </si>
  <si>
    <t>GDUL80USPS0100ZZZ</t>
  </si>
  <si>
    <t>GDUL80USUS0100ZZZ</t>
  </si>
  <si>
    <t>GDUL80USMS011YZZZ</t>
  </si>
  <si>
    <t>GDUL80USSS011YZZZ</t>
  </si>
  <si>
    <t>StorageCraft GRE 8 Direct EDB - Project License</t>
  </si>
  <si>
    <t>GDPJ80USPS012MZZZ</t>
  </si>
  <si>
    <t>GDPJ80USSS012MZZZ</t>
  </si>
  <si>
    <t>StorageCraft GRE 8 Direct EDB - Upgrade from 250 to Unlim</t>
  </si>
  <si>
    <t>GDUG80USPS0100ZPZ</t>
  </si>
  <si>
    <t>GDUG80USSS011YZZZ</t>
  </si>
  <si>
    <t>ShadowProtect GRE 8 - Upgrade from 250 to 250 Direct EDB</t>
  </si>
  <si>
    <t>GRD280USPS0100ZPZ</t>
  </si>
  <si>
    <t>GRD280USSS0100ZPZ</t>
  </si>
  <si>
    <t>ShadowProtect GRE 8 - Upgrade from Unlim to Unlim Direct EDB</t>
  </si>
  <si>
    <t>GRDU80USPS0100ZPZ</t>
  </si>
  <si>
    <t>GRDU80USSS0100ZPZ</t>
  </si>
  <si>
    <t>StorageCraft Support Incidents and Packs - SRP*</t>
  </si>
  <si>
    <t>ShadowProtect Desktop</t>
  </si>
  <si>
    <t>PDSK00USSS0100ZZZ</t>
  </si>
  <si>
    <t>PDSK00USSS0500ZZZ</t>
  </si>
  <si>
    <t>ShadowProtect Server/Small Business/IT/GRE
ShadowControl ImageManager/CMD</t>
  </si>
  <si>
    <t>PENT00USSS0100ZZZ</t>
  </si>
  <si>
    <t>PENT00USSS0500ZZZ</t>
  </si>
  <si>
    <t>PENT00USSS1000ZZZ</t>
  </si>
  <si>
    <t>*Incident packs expire in one year from purchase date.</t>
  </si>
  <si>
    <t>Physical Media (Product CDs) - SRP</t>
  </si>
  <si>
    <t>Reseller Price</t>
  </si>
  <si>
    <t>ShadowProtect Server - Physical Media</t>
  </si>
  <si>
    <t>SSPS50USXS0100ZZZ</t>
  </si>
  <si>
    <t>ShadowProtect Desktop - Physical Media</t>
  </si>
  <si>
    <t>DSPD50USXS0100ZZZ</t>
  </si>
  <si>
    <t>ShadowProtect Small Business - Physical Media</t>
  </si>
  <si>
    <t>BSBS50USXS0100ZZZ</t>
  </si>
  <si>
    <t>ShadowProtect GRE - Physical Media</t>
  </si>
  <si>
    <t>GULM60USXS0100ZZZ</t>
  </si>
  <si>
    <t>StorageCraft ImageManager (v 7.x) ShadowStream (SS) - SRP</t>
  </si>
  <si>
    <t>ShadowStream - 1-Job License</t>
  </si>
  <si>
    <t>ShadowStream - 2-Job License</t>
  </si>
  <si>
    <t>ShadowStream - 3-Job License</t>
  </si>
  <si>
    <t>ShadowStream - 4-Job License</t>
  </si>
  <si>
    <t>ShadowStream - 5-Job License</t>
  </si>
  <si>
    <t>ShadowStream - 6-Job License</t>
  </si>
  <si>
    <t>ShadowStream - 7-Job License</t>
  </si>
  <si>
    <t>ShadowStream - 8-Job License</t>
  </si>
  <si>
    <t>ShadowStream - 9-Job License</t>
  </si>
  <si>
    <t>ShadowStream - 10-Job License</t>
  </si>
  <si>
    <t>ShadowStream - 11-Job License</t>
  </si>
  <si>
    <t>ShadowStream - 12-Job License</t>
  </si>
  <si>
    <t>ShadowStream - 13-Job License</t>
  </si>
  <si>
    <t>ShadowStream - 14-Job License</t>
  </si>
  <si>
    <t>ShadowStream - 15-Job License</t>
  </si>
  <si>
    <t>ShadowStream - 16-Job License</t>
  </si>
  <si>
    <t>ShadowStream - 17-Job License</t>
  </si>
  <si>
    <t>ShadowStream - 18-Job License</t>
  </si>
  <si>
    <t>ShadowStream - 19-Job License</t>
  </si>
  <si>
    <t>ShadowStream - 20-Job License</t>
  </si>
  <si>
    <t>* For higher volume sales, please contact StorageCraft.</t>
  </si>
  <si>
    <t>Country</t>
  </si>
  <si>
    <t>To</t>
  </si>
  <si>
    <t>CRC</t>
  </si>
  <si>
    <t>FORMAT</t>
  </si>
  <si>
    <t>ROUNDING</t>
  </si>
  <si>
    <t>Date:</t>
  </si>
  <si>
    <t>""#,###.00""</t>
  </si>
  <si>
    <t>EU</t>
  </si>
  <si>
    <t>British Pound</t>
  </si>
  <si>
    <t>GBP</t>
  </si>
  <si>
    <t>Euro</t>
  </si>
  <si>
    <t>EUR</t>
  </si>
  <si>
    <t>Swiss franc</t>
  </si>
  <si>
    <t>CHF</t>
  </si>
  <si>
    <t>Support Incidents</t>
  </si>
  <si>
    <t>ShadowProtect Edition</t>
  </si>
  <si>
    <t>* The multiple license packs of ShadowProtect Virtual are subject to a single serial number used for tracking and product identification.  As a condition of sale the licenses included in the pack may be used only by a single end user. They may not be sold separately and their individual resale or distribution is expressly prohibited.</t>
  </si>
  <si>
    <t>BASE Pricing for StorageCraft Products</t>
  </si>
  <si>
    <t>PHONE</t>
  </si>
  <si>
    <t>353.21.237.3500</t>
  </si>
  <si>
    <t>ENGLISH</t>
  </si>
  <si>
    <t>SRP</t>
  </si>
  <si>
    <t>RSD</t>
  </si>
  <si>
    <t>CUD</t>
  </si>
  <si>
    <t>Gov/Education/Non-Profit Discounted Prices</t>
  </si>
  <si>
    <t>Select Currency and SRP/GEN</t>
  </si>
  <si>
    <t>Pricing for StorageCraft Products</t>
  </si>
  <si>
    <t>Use Standard SRP Premium Support Pricing</t>
  </si>
  <si>
    <t>Use Standard SRP Maintenance Renewal Pricing</t>
  </si>
  <si>
    <t>Use Standard SRP Upgrade Pricing</t>
  </si>
  <si>
    <t>Minimum Quantity</t>
  </si>
  <si>
    <t xml:space="preserve">To order, contact StorageCraft Sales at </t>
  </si>
  <si>
    <t>or visit</t>
  </si>
  <si>
    <t>1Yr Maintenance</t>
  </si>
  <si>
    <t>VOLUME DISCOUNTS:</t>
  </si>
  <si>
    <t>Non Partner</t>
  </si>
  <si>
    <t>Authorized Partner</t>
  </si>
  <si>
    <t>Silver</t>
  </si>
  <si>
    <t>Gold</t>
  </si>
  <si>
    <t>Platinum</t>
  </si>
  <si>
    <t>Partner level:</t>
  </si>
  <si>
    <t>USED</t>
  </si>
  <si>
    <t>PP GROUP</t>
  </si>
  <si>
    <t>D</t>
  </si>
  <si>
    <t>CU USED</t>
  </si>
  <si>
    <t>StorageCraft Support Incidents and Packs*</t>
  </si>
  <si>
    <t>StorageCraft ShadowProtect Virtual</t>
  </si>
  <si>
    <t>StorageCraft ShadowProtect SPX Desktop (Windows)</t>
  </si>
  <si>
    <t>StorageCraft ShadowProtect SPX (Windows – Virtual Server)</t>
  </si>
  <si>
    <t>StorageCraft ShadowProtect SPX (Linux – Virtual Server)</t>
  </si>
  <si>
    <t>StorageCraft ShadowProtect SPX  Server (Linux)</t>
  </si>
  <si>
    <t>StorageCraft ShadowProtect SPX  (Virtual - Socket Licensing)</t>
  </si>
  <si>
    <t>StorageCraft ShadowProtect IT Edition (v 5.x)</t>
  </si>
  <si>
    <t>StorageCraft ShadowProtect Granular Recovery for Exchange (v 8.x)</t>
  </si>
  <si>
    <t>StorageCraft ShadowProtect for Small Business</t>
  </si>
  <si>
    <t>StorageCraft ShadowProtect Desktop (v 5.x)</t>
  </si>
  <si>
    <t>StorageCraft ShadowProtect  SPX Server (Windows)</t>
  </si>
  <si>
    <t>StorageCraft ImageManager (v 7.x) ShadowStream (SS)</t>
  </si>
  <si>
    <t>Physical Media (Product CDs)</t>
  </si>
  <si>
    <t>Standard</t>
  </si>
  <si>
    <t>Published Standard Pricing</t>
  </si>
  <si>
    <t>Published Gov/Edu/Non-Profit</t>
  </si>
  <si>
    <t>Gov/Edu/NonProfit</t>
  </si>
  <si>
    <t>Standard Pricing</t>
  </si>
  <si>
    <t>Gov/Edu/Non-Profit Pricing</t>
  </si>
  <si>
    <t>Partner Cost</t>
  </si>
  <si>
    <t>StorageCraft ShadowProtect SPX Virtual Desktop  (Windows-Virtual)</t>
  </si>
  <si>
    <t>Region/Currency:</t>
  </si>
  <si>
    <t>FRENCH</t>
  </si>
  <si>
    <t>Price Group:</t>
  </si>
  <si>
    <t>** INTERNAL USE ONLY: DO NOT DISTRIBUTE  **</t>
  </si>
  <si>
    <t>CSST70USPS0100ZZN</t>
  </si>
  <si>
    <t>CSST70USUS0100ZZN</t>
  </si>
  <si>
    <t>CSST70USMS011YZZN</t>
  </si>
  <si>
    <t>CSST70USSS011YZZN</t>
  </si>
  <si>
    <t>CSST70USPS0100ZZO</t>
  </si>
  <si>
    <t>CSST70USUS0100ZZO</t>
  </si>
  <si>
    <t>CSST70USMS011YZZO</t>
  </si>
  <si>
    <t>CSST70USSS011YZZO</t>
  </si>
  <si>
    <t>CSST70USPS0100ZZP</t>
  </si>
  <si>
    <t>CSST70USUS0100ZZP</t>
  </si>
  <si>
    <t>CSST70USMS011YZZP</t>
  </si>
  <si>
    <t>CSST70USSS011YZZP</t>
  </si>
  <si>
    <t>N</t>
  </si>
  <si>
    <t>O</t>
  </si>
  <si>
    <t>P</t>
  </si>
  <si>
    <t>1 - 4</t>
  </si>
  <si>
    <t>5 - 9</t>
  </si>
  <si>
    <t>10+</t>
  </si>
  <si>
    <t xml:space="preserve">Prices Valid:  </t>
  </si>
  <si>
    <t>* GRE Project License is valid for 60 days.</t>
  </si>
  <si>
    <t>3 pack spx desk</t>
  </si>
  <si>
    <t>3 pack desk</t>
  </si>
  <si>
    <t>DSPD50USPS0300ZZZ</t>
  </si>
  <si>
    <t>DSPD50USUS0300ZZZ</t>
  </si>
  <si>
    <t>DSPD50USMS031YZZZ</t>
  </si>
  <si>
    <t>KXDW00USPS0300ZZZ</t>
  </si>
  <si>
    <t>KXDW00USUS0300ZZZ</t>
  </si>
  <si>
    <t>KXDW00USMS031YZZZ</t>
  </si>
  <si>
    <t>Exchange Rate</t>
  </si>
  <si>
    <t>Euro Pricing for StorageCraft Products</t>
  </si>
  <si>
    <t>Non Partner - SRP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</si>
</sst>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[$-409]mmmm\ d\,\ yyyy;@"/>
    <numFmt numFmtId="167" formatCode="&quot;$&quot;#,##0.000"/>
    <numFmt numFmtId="168" formatCode="0.0%"/>
    <numFmt numFmtId="169" formatCode="&quot;$&quot;#,##0.00"/>
  </numFmts>
  <fonts count="3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sz val="10"/>
      <name val="Lucida Console"/>
      <family val="3"/>
    </font>
    <font>
      <sz val="10"/>
      <name val="Courier New"/>
      <family val="3"/>
    </font>
    <font>
      <u/>
      <sz val="16"/>
      <name val="Arial"/>
      <family val="2"/>
    </font>
    <font>
      <i/>
      <sz val="14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sz val="24"/>
      <color rgb="FF00B0F0"/>
      <name val="Roboto Thin"/>
    </font>
    <font>
      <i/>
      <sz val="14"/>
      <color rgb="FF002060"/>
      <name val="Roboto Medium"/>
    </font>
    <font>
      <sz val="10"/>
      <name val="Roboto Light"/>
    </font>
    <font>
      <i/>
      <sz val="10"/>
      <name val="Roboto Light"/>
    </font>
    <font>
      <sz val="12"/>
      <color indexed="9"/>
      <name val="Roboto Light"/>
    </font>
    <font>
      <sz val="10"/>
      <color theme="1"/>
      <name val="Roboto Light"/>
    </font>
    <font>
      <sz val="9"/>
      <color theme="1"/>
      <name val="Roboto Light"/>
    </font>
    <font>
      <i/>
      <sz val="8"/>
      <name val="Roboto Light"/>
    </font>
    <font>
      <i/>
      <sz val="14"/>
      <color theme="4" tint="-0.499984740745262"/>
      <name val="Roboto Medium"/>
    </font>
    <font>
      <b/>
      <sz val="10"/>
      <name val="Arial"/>
      <family val="2"/>
    </font>
    <font>
      <sz val="10"/>
      <name val="Arial"/>
      <family val="2"/>
    </font>
    <font>
      <b/>
      <u/>
      <sz val="16"/>
      <color rgb="FFFF0000"/>
      <name val="Arial"/>
      <family val="2"/>
    </font>
    <font>
      <b/>
      <sz val="12"/>
      <name val="Roboto Light"/>
    </font>
    <font>
      <b/>
      <sz val="18"/>
      <name val="Arial"/>
      <family val="2"/>
    </font>
    <font>
      <sz val="10"/>
      <color rgb="FFFF0000"/>
      <name val="Arial"/>
      <family val="2"/>
    </font>
    <font>
      <b/>
      <sz val="20"/>
      <color rgb="FFFF0000"/>
      <name val="Arial"/>
      <family val="2"/>
    </font>
    <font>
      <sz val="11"/>
      <color rgb="FF3F3F76"/>
      <name val="Calibri"/>
      <family val="2"/>
      <scheme val="minor"/>
    </font>
    <font>
      <b/>
      <sz val="12"/>
      <color theme="0"/>
      <name val="Roboto Light"/>
    </font>
    <font>
      <b/>
      <sz val="10"/>
      <name val="Roboto Light"/>
    </font>
    <font>
      <i/>
      <sz val="16"/>
      <color theme="4" tint="-0.499984740745262"/>
      <name val="Roboto Medium"/>
    </font>
    <font>
      <i/>
      <sz val="16"/>
      <name val="Arial"/>
      <family val="2"/>
    </font>
    <font>
      <sz val="18"/>
      <color rgb="FF00B0F0"/>
      <name val="Roboto Thin"/>
    </font>
    <font>
      <sz val="14"/>
      <color rgb="FF00B0F0"/>
      <name val="Roboto Thin"/>
    </font>
    <font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</patternFill>
    </fill>
    <fill>
      <patternFill patternType="solid">
        <fgColor theme="6" tint="0.59999389629810485"/>
        <bgColor indexed="65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theme="4"/>
      </left>
      <right style="dashed">
        <color theme="4"/>
      </right>
      <top style="dashed">
        <color theme="4"/>
      </top>
      <bottom style="dashed">
        <color theme="4"/>
      </bottom>
      <diagonal/>
    </border>
    <border>
      <left style="dashed">
        <color theme="7"/>
      </left>
      <right style="dashed">
        <color theme="7"/>
      </right>
      <top style="dashed">
        <color theme="7"/>
      </top>
      <bottom style="dashed">
        <color theme="7"/>
      </bottom>
      <diagonal/>
    </border>
    <border>
      <left style="dashed">
        <color theme="9"/>
      </left>
      <right style="dashed">
        <color theme="9"/>
      </right>
      <top style="dashed">
        <color theme="9"/>
      </top>
      <bottom style="dashed">
        <color theme="9"/>
      </bottom>
      <diagonal/>
    </border>
    <border>
      <left style="dashed">
        <color rgb="FFC00000"/>
      </left>
      <right style="dashed">
        <color rgb="FFC00000"/>
      </right>
      <top style="dashed">
        <color rgb="FFC00000"/>
      </top>
      <bottom style="dashed">
        <color rgb="FFC00000"/>
      </bottom>
      <diagonal/>
    </border>
  </borders>
  <cellStyleXfs count="6">
    <xf numFmtId="0" fontId="0" fillId="0" borderId="0"/>
    <xf numFmtId="0" fontId="14" fillId="0" borderId="3">
      <alignment horizontal="center"/>
    </xf>
    <xf numFmtId="0" fontId="20" fillId="2" borderId="0"/>
    <xf numFmtId="9" fontId="22" fillId="0" borderId="0" applyFont="0" applyFill="0" applyBorder="0" applyAlignment="0" applyProtection="0"/>
    <xf numFmtId="0" fontId="28" fillId="10" borderId="16" applyNumberFormat="0" applyAlignment="0" applyProtection="0"/>
    <xf numFmtId="0" fontId="2" fillId="11" borderId="0" applyNumberFormat="0" applyBorder="0" applyAlignment="0" applyProtection="0"/>
  </cellStyleXfs>
  <cellXfs count="361">
    <xf numFmtId="0" fontId="0" fillId="0" borderId="0" xfId="0"/>
    <xf numFmtId="165" fontId="0" fillId="3" borderId="0" xfId="0" applyNumberFormat="1" applyFont="1" applyFill="1"/>
    <xf numFmtId="165" fontId="0" fillId="3" borderId="0" xfId="0" applyNumberFormat="1" applyFont="1" applyFill="1" applyBorder="1"/>
    <xf numFmtId="165" fontId="0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/>
    <xf numFmtId="165" fontId="0" fillId="0" borderId="0" xfId="0" applyNumberFormat="1" applyFont="1" applyFill="1" applyBorder="1" applyAlignment="1">
      <alignment horizontal="right" vertical="center"/>
    </xf>
    <xf numFmtId="0" fontId="6" fillId="2" borderId="0" xfId="0" applyFont="1" applyFill="1"/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0" fillId="3" borderId="0" xfId="0" applyFont="1" applyFill="1"/>
    <xf numFmtId="0" fontId="0" fillId="0" borderId="0" xfId="0" applyFont="1"/>
    <xf numFmtId="0" fontId="7" fillId="2" borderId="0" xfId="0" applyFont="1" applyFill="1" applyBorder="1" applyAlignment="1"/>
    <xf numFmtId="165" fontId="7" fillId="3" borderId="0" xfId="0" applyNumberFormat="1" applyFont="1" applyFill="1" applyBorder="1" applyAlignment="1"/>
    <xf numFmtId="0" fontId="0" fillId="3" borderId="0" xfId="0" applyFont="1" applyFill="1" applyAlignment="1">
      <alignment horizontal="right"/>
    </xf>
    <xf numFmtId="0" fontId="9" fillId="2" borderId="0" xfId="0" applyFont="1" applyFill="1" applyBorder="1" applyAlignment="1"/>
    <xf numFmtId="0" fontId="0" fillId="2" borderId="0" xfId="0" applyFont="1" applyFill="1" applyBorder="1"/>
    <xf numFmtId="0" fontId="0" fillId="3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10" fillId="2" borderId="0" xfId="0" applyFont="1" applyFill="1" applyBorder="1" applyAlignment="1"/>
    <xf numFmtId="0" fontId="10" fillId="0" borderId="0" xfId="0" applyFont="1" applyFill="1" applyBorder="1" applyAlignment="1"/>
    <xf numFmtId="0" fontId="0" fillId="0" borderId="0" xfId="0" applyFont="1" applyFill="1"/>
    <xf numFmtId="165" fontId="10" fillId="3" borderId="0" xfId="0" applyNumberFormat="1" applyFont="1" applyFill="1" applyBorder="1" applyAlignment="1"/>
    <xf numFmtId="3" fontId="0" fillId="2" borderId="0" xfId="0" applyNumberFormat="1" applyFont="1" applyFill="1" applyBorder="1" applyAlignment="1"/>
    <xf numFmtId="0" fontId="0" fillId="2" borderId="0" xfId="0" applyFont="1" applyFill="1" applyBorder="1" applyAlignment="1"/>
    <xf numFmtId="165" fontId="10" fillId="0" borderId="0" xfId="0" applyNumberFormat="1" applyFont="1" applyFill="1" applyBorder="1" applyAlignment="1"/>
    <xf numFmtId="0" fontId="0" fillId="0" borderId="0" xfId="0" applyFont="1" applyFill="1" applyAlignment="1">
      <alignment horizontal="left"/>
    </xf>
    <xf numFmtId="165" fontId="7" fillId="0" borderId="0" xfId="0" applyNumberFormat="1" applyFont="1" applyFill="1" applyBorder="1" applyAlignment="1"/>
    <xf numFmtId="0" fontId="0" fillId="2" borderId="0" xfId="0" applyFont="1" applyFill="1" applyBorder="1" applyAlignment="1">
      <alignment horizontal="left" vertical="center" wrapText="1"/>
    </xf>
    <xf numFmtId="0" fontId="9" fillId="3" borderId="0" xfId="0" applyNumberFormat="1" applyFont="1" applyFill="1" applyAlignment="1">
      <alignment horizontal="left" wrapText="1"/>
    </xf>
    <xf numFmtId="0" fontId="0" fillId="0" borderId="0" xfId="0" applyFont="1" applyBorder="1" applyAlignment="1">
      <alignment horizontal="center"/>
    </xf>
    <xf numFmtId="165" fontId="0" fillId="0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/>
    <xf numFmtId="0" fontId="10" fillId="3" borderId="0" xfId="0" applyFont="1" applyFill="1" applyBorder="1" applyAlignment="1"/>
    <xf numFmtId="165" fontId="12" fillId="3" borderId="0" xfId="0" applyNumberFormat="1" applyFont="1" applyFill="1" applyAlignment="1">
      <alignment horizontal="left"/>
    </xf>
    <xf numFmtId="0" fontId="13" fillId="2" borderId="0" xfId="0" applyFont="1" applyFill="1" applyBorder="1" applyAlignment="1"/>
    <xf numFmtId="165" fontId="14" fillId="3" borderId="0" xfId="0" applyNumberFormat="1" applyFont="1" applyFill="1"/>
    <xf numFmtId="0" fontId="14" fillId="3" borderId="0" xfId="0" applyFont="1" applyFill="1"/>
    <xf numFmtId="0" fontId="15" fillId="2" borderId="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/>
    </xf>
    <xf numFmtId="9" fontId="14" fillId="2" borderId="6" xfId="0" applyNumberFormat="1" applyFont="1" applyFill="1" applyBorder="1" applyAlignment="1">
      <alignment horizontal="center"/>
    </xf>
    <xf numFmtId="167" fontId="14" fillId="0" borderId="3" xfId="0" applyNumberFormat="1" applyFont="1" applyFill="1" applyBorder="1" applyAlignment="1">
      <alignment horizontal="center"/>
    </xf>
    <xf numFmtId="3" fontId="14" fillId="2" borderId="3" xfId="0" applyNumberFormat="1" applyFont="1" applyFill="1" applyBorder="1" applyAlignment="1">
      <alignment horizontal="center"/>
    </xf>
    <xf numFmtId="0" fontId="19" fillId="2" borderId="0" xfId="0" applyFont="1" applyFill="1" applyBorder="1" applyAlignment="1"/>
    <xf numFmtId="0" fontId="14" fillId="2" borderId="0" xfId="0" applyFont="1" applyFill="1" applyBorder="1"/>
    <xf numFmtId="165" fontId="14" fillId="3" borderId="0" xfId="0" applyNumberFormat="1" applyFont="1" applyFill="1" applyBorder="1"/>
    <xf numFmtId="0" fontId="14" fillId="3" borderId="0" xfId="0" applyFont="1" applyFill="1" applyBorder="1" applyAlignment="1">
      <alignment horizontal="center"/>
    </xf>
    <xf numFmtId="165" fontId="14" fillId="3" borderId="0" xfId="0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9" fontId="14" fillId="2" borderId="3" xfId="0" applyNumberFormat="1" applyFont="1" applyFill="1" applyBorder="1" applyAlignment="1">
      <alignment horizontal="center"/>
    </xf>
    <xf numFmtId="168" fontId="14" fillId="2" borderId="3" xfId="0" applyNumberFormat="1" applyFont="1" applyFill="1" applyBorder="1" applyAlignment="1">
      <alignment horizontal="center"/>
    </xf>
    <xf numFmtId="165" fontId="14" fillId="0" borderId="12" xfId="0" applyNumberFormat="1" applyFont="1" applyFill="1" applyBorder="1" applyAlignment="1">
      <alignment horizontal="center" vertical="center" wrapText="1"/>
    </xf>
    <xf numFmtId="165" fontId="17" fillId="0" borderId="12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169" fontId="14" fillId="0" borderId="3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168" fontId="14" fillId="2" borderId="0" xfId="0" applyNumberFormat="1" applyFont="1" applyFill="1" applyBorder="1" applyAlignment="1">
      <alignment horizontal="center"/>
    </xf>
    <xf numFmtId="165" fontId="14" fillId="0" borderId="0" xfId="0" applyNumberFormat="1" applyFont="1" applyFill="1" applyBorder="1"/>
    <xf numFmtId="16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/>
    </xf>
    <xf numFmtId="3" fontId="14" fillId="2" borderId="0" xfId="0" applyNumberFormat="1" applyFont="1" applyFill="1" applyBorder="1" applyAlignment="1"/>
    <xf numFmtId="0" fontId="14" fillId="2" borderId="0" xfId="0" applyFont="1" applyFill="1" applyBorder="1" applyAlignment="1"/>
    <xf numFmtId="165" fontId="14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 wrapText="1"/>
    </xf>
    <xf numFmtId="3" fontId="14" fillId="2" borderId="3" xfId="0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165" fontId="14" fillId="3" borderId="3" xfId="0" applyNumberFormat="1" applyFont="1" applyFill="1" applyBorder="1" applyAlignment="1">
      <alignment horizontal="center"/>
    </xf>
    <xf numFmtId="165" fontId="14" fillId="3" borderId="0" xfId="0" applyNumberFormat="1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 vertical="center" wrapText="1"/>
    </xf>
    <xf numFmtId="0" fontId="19" fillId="9" borderId="0" xfId="0" applyFont="1" applyFill="1" applyAlignment="1">
      <alignment vertical="center"/>
    </xf>
    <xf numFmtId="0" fontId="14" fillId="0" borderId="0" xfId="0" applyFont="1"/>
    <xf numFmtId="0" fontId="14" fillId="3" borderId="1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165" fontId="14" fillId="0" borderId="3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165" fontId="14" fillId="0" borderId="0" xfId="0" applyNumberFormat="1" applyFont="1"/>
    <xf numFmtId="0" fontId="14" fillId="3" borderId="0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2" borderId="3" xfId="0" applyFont="1" applyFill="1" applyBorder="1" applyAlignment="1">
      <alignment horizontal="center" vertical="center"/>
    </xf>
    <xf numFmtId="1" fontId="14" fillId="2" borderId="3" xfId="0" applyNumberFormat="1" applyFont="1" applyFill="1" applyBorder="1" applyAlignment="1">
      <alignment horizontal="center"/>
    </xf>
    <xf numFmtId="165" fontId="14" fillId="0" borderId="0" xfId="0" applyNumberFormat="1" applyFont="1" applyFill="1"/>
    <xf numFmtId="39" fontId="14" fillId="3" borderId="3" xfId="0" applyNumberFormat="1" applyFont="1" applyFill="1" applyBorder="1" applyAlignment="1">
      <alignment horizontal="right" indent="1"/>
    </xf>
    <xf numFmtId="0" fontId="21" fillId="0" borderId="0" xfId="0" applyFont="1"/>
    <xf numFmtId="39" fontId="14" fillId="3" borderId="0" xfId="0" applyNumberFormat="1" applyFont="1" applyFill="1" applyBorder="1" applyAlignment="1">
      <alignment horizontal="right" indent="1"/>
    </xf>
    <xf numFmtId="167" fontId="1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26" fillId="0" borderId="0" xfId="0" applyFont="1"/>
    <xf numFmtId="0" fontId="27" fillId="0" borderId="0" xfId="0" applyFont="1"/>
    <xf numFmtId="165" fontId="29" fillId="3" borderId="0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14" fillId="2" borderId="6" xfId="0" applyFont="1" applyFill="1" applyBorder="1" applyAlignment="1">
      <alignment horizontal="center" vertical="center" wrapText="1"/>
    </xf>
    <xf numFmtId="0" fontId="19" fillId="3" borderId="0" xfId="0" applyNumberFormat="1" applyFont="1" applyFill="1" applyAlignment="1">
      <alignment horizontal="left" wrapText="1"/>
    </xf>
    <xf numFmtId="0" fontId="14" fillId="0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/>
    </xf>
    <xf numFmtId="165" fontId="14" fillId="3" borderId="3" xfId="0" applyNumberFormat="1" applyFont="1" applyFill="1" applyBorder="1" applyAlignment="1">
      <alignment horizontal="center" vertical="center" wrapText="1"/>
    </xf>
    <xf numFmtId="165" fontId="14" fillId="3" borderId="12" xfId="0" applyNumberFormat="1" applyFont="1" applyFill="1" applyBorder="1" applyAlignment="1">
      <alignment horizontal="center" vertical="center" wrapText="1"/>
    </xf>
    <xf numFmtId="0" fontId="25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left" wrapText="1"/>
      <protection hidden="1"/>
    </xf>
    <xf numFmtId="165" fontId="24" fillId="3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168" fontId="28" fillId="10" borderId="16" xfId="4" applyNumberFormat="1" applyAlignment="1" applyProtection="1">
      <alignment horizontal="center"/>
      <protection hidden="1"/>
    </xf>
    <xf numFmtId="0" fontId="2" fillId="11" borderId="0" xfId="5" applyProtection="1">
      <protection hidden="1"/>
    </xf>
    <xf numFmtId="0" fontId="2" fillId="11" borderId="0" xfId="5" applyAlignment="1" applyProtection="1">
      <alignment horizontal="left"/>
      <protection hidden="1"/>
    </xf>
    <xf numFmtId="165" fontId="2" fillId="11" borderId="0" xfId="5" applyNumberFormat="1" applyProtection="1">
      <protection hidden="1"/>
    </xf>
    <xf numFmtId="0" fontId="2" fillId="11" borderId="0" xfId="5" applyBorder="1" applyAlignment="1" applyProtection="1">
      <protection hidden="1"/>
    </xf>
    <xf numFmtId="165" fontId="2" fillId="11" borderId="0" xfId="5" applyNumberFormat="1" applyBorder="1" applyAlignment="1" applyProtection="1">
      <protection hidden="1"/>
    </xf>
    <xf numFmtId="0" fontId="2" fillId="11" borderId="0" xfId="5" applyAlignment="1" applyProtection="1">
      <alignment horizontal="right"/>
      <protection hidden="1"/>
    </xf>
    <xf numFmtId="0" fontId="2" fillId="11" borderId="3" xfId="5" applyBorder="1" applyAlignment="1" applyProtection="1">
      <alignment horizontal="center" vertical="center" wrapText="1"/>
      <protection hidden="1"/>
    </xf>
    <xf numFmtId="165" fontId="2" fillId="11" borderId="12" xfId="5" applyNumberFormat="1" applyBorder="1" applyAlignment="1" applyProtection="1">
      <alignment horizontal="center" vertical="center" wrapText="1"/>
      <protection hidden="1"/>
    </xf>
    <xf numFmtId="0" fontId="2" fillId="11" borderId="12" xfId="5" applyBorder="1" applyAlignment="1" applyProtection="1">
      <alignment horizontal="center" vertical="center" wrapText="1"/>
      <protection hidden="1"/>
    </xf>
    <xf numFmtId="165" fontId="2" fillId="11" borderId="3" xfId="5" applyNumberFormat="1" applyBorder="1" applyAlignment="1" applyProtection="1">
      <alignment horizontal="center" vertical="center" wrapText="1"/>
      <protection hidden="1"/>
    </xf>
    <xf numFmtId="49" fontId="2" fillId="11" borderId="3" xfId="5" applyNumberFormat="1" applyBorder="1" applyAlignment="1" applyProtection="1">
      <alignment horizontal="center"/>
      <protection hidden="1"/>
    </xf>
    <xf numFmtId="0" fontId="2" fillId="11" borderId="3" xfId="5" applyBorder="1" applyAlignment="1" applyProtection="1">
      <alignment horizontal="center"/>
      <protection hidden="1"/>
    </xf>
    <xf numFmtId="9" fontId="2" fillId="11" borderId="3" xfId="5" applyNumberFormat="1" applyBorder="1" applyAlignment="1" applyProtection="1">
      <alignment horizontal="center"/>
      <protection hidden="1"/>
    </xf>
    <xf numFmtId="39" fontId="2" fillId="11" borderId="3" xfId="5" applyNumberFormat="1" applyBorder="1" applyProtection="1">
      <protection hidden="1"/>
    </xf>
    <xf numFmtId="167" fontId="2" fillId="11" borderId="3" xfId="5" applyNumberFormat="1" applyBorder="1" applyAlignment="1" applyProtection="1">
      <alignment horizontal="center"/>
      <protection hidden="1"/>
    </xf>
    <xf numFmtId="168" fontId="2" fillId="11" borderId="3" xfId="5" applyNumberFormat="1" applyBorder="1" applyAlignment="1" applyProtection="1">
      <alignment horizontal="center"/>
      <protection hidden="1"/>
    </xf>
    <xf numFmtId="3" fontId="2" fillId="11" borderId="3" xfId="5" applyNumberFormat="1" applyBorder="1" applyAlignment="1" applyProtection="1">
      <alignment horizontal="center"/>
      <protection hidden="1"/>
    </xf>
    <xf numFmtId="0" fontId="2" fillId="11" borderId="0" xfId="5" applyBorder="1" applyProtection="1">
      <protection hidden="1"/>
    </xf>
    <xf numFmtId="165" fontId="2" fillId="11" borderId="0" xfId="5" applyNumberFormat="1" applyBorder="1" applyProtection="1">
      <protection hidden="1"/>
    </xf>
    <xf numFmtId="0" fontId="2" fillId="11" borderId="0" xfId="5" applyBorder="1" applyAlignment="1" applyProtection="1">
      <alignment horizontal="center"/>
      <protection hidden="1"/>
    </xf>
    <xf numFmtId="165" fontId="2" fillId="11" borderId="0" xfId="5" applyNumberFormat="1" applyBorder="1" applyAlignment="1" applyProtection="1">
      <alignment horizontal="center" vertical="center"/>
      <protection hidden="1"/>
    </xf>
    <xf numFmtId="168" fontId="2" fillId="11" borderId="0" xfId="5" applyNumberFormat="1" applyBorder="1" applyAlignment="1" applyProtection="1">
      <alignment horizontal="center"/>
      <protection hidden="1"/>
    </xf>
    <xf numFmtId="169" fontId="2" fillId="11" borderId="0" xfId="5" applyNumberFormat="1" applyBorder="1" applyAlignment="1" applyProtection="1">
      <alignment horizontal="center"/>
      <protection hidden="1"/>
    </xf>
    <xf numFmtId="0" fontId="2" fillId="11" borderId="0" xfId="5" applyBorder="1" applyAlignment="1" applyProtection="1">
      <alignment horizontal="center" vertical="center" wrapText="1"/>
      <protection hidden="1"/>
    </xf>
    <xf numFmtId="164" fontId="2" fillId="11" borderId="0" xfId="5" applyNumberFormat="1" applyBorder="1" applyAlignment="1" applyProtection="1">
      <alignment horizontal="center" vertical="center"/>
      <protection hidden="1"/>
    </xf>
    <xf numFmtId="0" fontId="2" fillId="11" borderId="14" xfId="5" applyBorder="1" applyAlignment="1" applyProtection="1">
      <alignment horizontal="center" vertical="center"/>
      <protection hidden="1"/>
    </xf>
    <xf numFmtId="0" fontId="2" fillId="11" borderId="9" xfId="5" applyBorder="1" applyAlignment="1" applyProtection="1">
      <alignment horizontal="center" vertical="center"/>
      <protection hidden="1"/>
    </xf>
    <xf numFmtId="39" fontId="2" fillId="11" borderId="3" xfId="5" applyNumberFormat="1" applyBorder="1" applyAlignment="1" applyProtection="1">
      <alignment horizontal="right"/>
      <protection hidden="1"/>
    </xf>
    <xf numFmtId="3" fontId="2" fillId="11" borderId="0" xfId="5" applyNumberFormat="1" applyBorder="1" applyAlignment="1" applyProtection="1">
      <protection hidden="1"/>
    </xf>
    <xf numFmtId="165" fontId="2" fillId="11" borderId="0" xfId="5" applyNumberFormat="1" applyBorder="1" applyAlignment="1" applyProtection="1">
      <alignment horizontal="right"/>
      <protection hidden="1"/>
    </xf>
    <xf numFmtId="3" fontId="2" fillId="11" borderId="3" xfId="5" applyNumberFormat="1" applyBorder="1" applyAlignment="1" applyProtection="1">
      <alignment vertical="center"/>
      <protection hidden="1"/>
    </xf>
    <xf numFmtId="0" fontId="2" fillId="11" borderId="3" xfId="5" applyBorder="1" applyAlignment="1" applyProtection="1">
      <alignment vertical="center"/>
      <protection hidden="1"/>
    </xf>
    <xf numFmtId="39" fontId="2" fillId="11" borderId="3" xfId="5" applyNumberFormat="1" applyBorder="1" applyAlignment="1" applyProtection="1">
      <alignment horizontal="right" vertical="center"/>
      <protection hidden="1"/>
    </xf>
    <xf numFmtId="0" fontId="2" fillId="11" borderId="3" xfId="5" applyBorder="1" applyAlignment="1" applyProtection="1">
      <alignment horizontal="center" vertical="center"/>
      <protection hidden="1"/>
    </xf>
    <xf numFmtId="164" fontId="2" fillId="11" borderId="0" xfId="5" applyNumberFormat="1" applyBorder="1" applyAlignment="1" applyProtection="1">
      <alignment horizontal="center" wrapText="1"/>
      <protection hidden="1"/>
    </xf>
    <xf numFmtId="169" fontId="2" fillId="11" borderId="3" xfId="5" applyNumberFormat="1" applyBorder="1" applyAlignment="1" applyProtection="1">
      <alignment horizontal="center"/>
      <protection hidden="1"/>
    </xf>
    <xf numFmtId="165" fontId="2" fillId="11" borderId="3" xfId="5" applyNumberFormat="1" applyBorder="1" applyAlignment="1" applyProtection="1">
      <alignment horizontal="center"/>
      <protection hidden="1"/>
    </xf>
    <xf numFmtId="39" fontId="2" fillId="11" borderId="0" xfId="5" applyNumberFormat="1" applyBorder="1" applyProtection="1">
      <protection hidden="1"/>
    </xf>
    <xf numFmtId="165" fontId="2" fillId="11" borderId="0" xfId="5" applyNumberFormat="1" applyBorder="1" applyAlignment="1" applyProtection="1">
      <alignment horizontal="center"/>
      <protection hidden="1"/>
    </xf>
    <xf numFmtId="39" fontId="2" fillId="11" borderId="12" xfId="5" applyNumberFormat="1" applyBorder="1" applyProtection="1">
      <protection hidden="1"/>
    </xf>
    <xf numFmtId="0" fontId="2" fillId="11" borderId="12" xfId="5" applyBorder="1" applyAlignment="1" applyProtection="1">
      <alignment horizontal="center" vertical="center"/>
      <protection hidden="1"/>
    </xf>
    <xf numFmtId="39" fontId="2" fillId="11" borderId="3" xfId="5" applyNumberFormat="1" applyBorder="1" applyAlignment="1" applyProtection="1">
      <alignment vertical="center"/>
      <protection hidden="1"/>
    </xf>
    <xf numFmtId="0" fontId="2" fillId="11" borderId="0" xfId="5" applyBorder="1" applyAlignment="1" applyProtection="1">
      <alignment horizontal="left" vertical="center" wrapText="1"/>
      <protection hidden="1"/>
    </xf>
    <xf numFmtId="0" fontId="2" fillId="11" borderId="0" xfId="5" applyBorder="1" applyAlignment="1" applyProtection="1">
      <alignment horizontal="center" vertical="center"/>
      <protection hidden="1"/>
    </xf>
    <xf numFmtId="39" fontId="2" fillId="11" borderId="12" xfId="5" applyNumberFormat="1" applyBorder="1" applyAlignment="1" applyProtection="1">
      <alignment vertical="center"/>
      <protection hidden="1"/>
    </xf>
    <xf numFmtId="0" fontId="2" fillId="11" borderId="0" xfId="5" applyNumberFormat="1" applyAlignment="1" applyProtection="1">
      <alignment horizontal="left" wrapText="1"/>
      <protection hidden="1"/>
    </xf>
    <xf numFmtId="0" fontId="2" fillId="11" borderId="12" xfId="5" applyBorder="1" applyAlignment="1" applyProtection="1">
      <alignment horizontal="center"/>
      <protection hidden="1"/>
    </xf>
    <xf numFmtId="165" fontId="2" fillId="11" borderId="3" xfId="5" applyNumberFormat="1" applyBorder="1" applyAlignment="1" applyProtection="1">
      <alignment horizontal="center" vertical="center"/>
      <protection hidden="1"/>
    </xf>
    <xf numFmtId="0" fontId="2" fillId="11" borderId="6" xfId="5" applyBorder="1" applyAlignment="1" applyProtection="1">
      <alignment horizontal="center" vertical="center" wrapText="1"/>
      <protection hidden="1"/>
    </xf>
    <xf numFmtId="9" fontId="2" fillId="11" borderId="6" xfId="5" applyNumberFormat="1" applyBorder="1" applyAlignment="1" applyProtection="1">
      <alignment horizontal="center"/>
      <protection hidden="1"/>
    </xf>
    <xf numFmtId="0" fontId="2" fillId="11" borderId="3" xfId="5" applyBorder="1" applyAlignment="1" applyProtection="1">
      <alignment horizontal="center" wrapText="1"/>
      <protection hidden="1"/>
    </xf>
    <xf numFmtId="0" fontId="2" fillId="11" borderId="10" xfId="5" applyBorder="1" applyAlignment="1" applyProtection="1">
      <alignment horizontal="center" vertical="center"/>
      <protection hidden="1"/>
    </xf>
    <xf numFmtId="0" fontId="2" fillId="11" borderId="1" xfId="5" applyBorder="1" applyAlignment="1" applyProtection="1">
      <alignment horizontal="center" vertical="center"/>
      <protection hidden="1"/>
    </xf>
    <xf numFmtId="0" fontId="2" fillId="11" borderId="2" xfId="5" applyBorder="1" applyAlignment="1" applyProtection="1">
      <alignment horizontal="center" vertical="center" wrapText="1"/>
      <protection hidden="1"/>
    </xf>
    <xf numFmtId="0" fontId="2" fillId="11" borderId="10" xfId="5" applyBorder="1" applyAlignment="1" applyProtection="1">
      <alignment horizontal="center" vertical="center" wrapText="1"/>
      <protection hidden="1"/>
    </xf>
    <xf numFmtId="0" fontId="2" fillId="11" borderId="1" xfId="5" applyBorder="1" applyAlignment="1" applyProtection="1">
      <alignment horizontal="center" vertical="center" wrapText="1"/>
      <protection hidden="1"/>
    </xf>
    <xf numFmtId="164" fontId="2" fillId="11" borderId="3" xfId="5" applyNumberFormat="1" applyBorder="1" applyAlignment="1" applyProtection="1">
      <alignment horizontal="center"/>
      <protection hidden="1"/>
    </xf>
    <xf numFmtId="169" fontId="2" fillId="11" borderId="3" xfId="5" applyNumberFormat="1" applyBorder="1" applyAlignment="1" applyProtection="1">
      <alignment horizontal="center" wrapText="1"/>
      <protection hidden="1"/>
    </xf>
    <xf numFmtId="164" fontId="2" fillId="11" borderId="3" xfId="5" applyNumberFormat="1" applyBorder="1" applyAlignment="1" applyProtection="1">
      <alignment horizontal="center" vertical="center"/>
      <protection hidden="1"/>
    </xf>
    <xf numFmtId="0" fontId="2" fillId="11" borderId="0" xfId="5" applyAlignment="1" applyProtection="1">
      <alignment vertical="center"/>
      <protection hidden="1"/>
    </xf>
    <xf numFmtId="165" fontId="2" fillId="11" borderId="0" xfId="5" applyNumberFormat="1" applyBorder="1" applyAlignment="1" applyProtection="1">
      <alignment horizontal="right" vertical="center"/>
      <protection hidden="1"/>
    </xf>
    <xf numFmtId="165" fontId="2" fillId="11" borderId="0" xfId="5" applyNumberFormat="1" applyBorder="1" applyAlignment="1" applyProtection="1">
      <alignment vertical="center"/>
      <protection hidden="1"/>
    </xf>
    <xf numFmtId="169" fontId="2" fillId="11" borderId="3" xfId="5" applyNumberFormat="1" applyBorder="1" applyAlignment="1" applyProtection="1">
      <alignment horizontal="center" vertical="center" wrapText="1"/>
      <protection hidden="1"/>
    </xf>
    <xf numFmtId="164" fontId="2" fillId="11" borderId="3" xfId="5" applyNumberFormat="1" applyBorder="1" applyAlignment="1" applyProtection="1">
      <alignment horizontal="center" wrapText="1"/>
      <protection hidden="1"/>
    </xf>
    <xf numFmtId="1" fontId="2" fillId="11" borderId="3" xfId="5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9" fontId="0" fillId="0" borderId="0" xfId="3" applyFont="1" applyProtection="1">
      <protection hidden="1"/>
    </xf>
    <xf numFmtId="0" fontId="21" fillId="0" borderId="0" xfId="0" applyFont="1" applyProtection="1">
      <protection hidden="1"/>
    </xf>
    <xf numFmtId="0" fontId="21" fillId="0" borderId="29" xfId="0" applyFont="1" applyBorder="1" applyProtection="1">
      <protection hidden="1"/>
    </xf>
    <xf numFmtId="0" fontId="0" fillId="0" borderId="29" xfId="0" applyBorder="1" applyAlignment="1" applyProtection="1">
      <alignment horizontal="center"/>
      <protection hidden="1"/>
    </xf>
    <xf numFmtId="0" fontId="0" fillId="0" borderId="29" xfId="0" applyBorder="1" applyProtection="1">
      <protection hidden="1"/>
    </xf>
    <xf numFmtId="0" fontId="21" fillId="0" borderId="30" xfId="0" applyFont="1" applyBorder="1" applyProtection="1">
      <protection hidden="1"/>
    </xf>
    <xf numFmtId="0" fontId="0" fillId="0" borderId="30" xfId="0" applyBorder="1" applyAlignment="1" applyProtection="1">
      <alignment horizontal="center"/>
      <protection hidden="1"/>
    </xf>
    <xf numFmtId="0" fontId="0" fillId="0" borderId="30" xfId="0" applyBorder="1" applyProtection="1">
      <protection hidden="1"/>
    </xf>
    <xf numFmtId="0" fontId="21" fillId="0" borderId="31" xfId="0" applyFont="1" applyBorder="1" applyProtection="1"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1" xfId="0" applyBorder="1" applyProtection="1">
      <protection hidden="1"/>
    </xf>
    <xf numFmtId="0" fontId="21" fillId="0" borderId="32" xfId="0" applyFont="1" applyBorder="1" applyProtection="1">
      <protection hidden="1"/>
    </xf>
    <xf numFmtId="0" fontId="0" fillId="0" borderId="32" xfId="0" applyBorder="1" applyAlignment="1" applyProtection="1">
      <alignment horizontal="center"/>
      <protection hidden="1"/>
    </xf>
    <xf numFmtId="0" fontId="0" fillId="0" borderId="32" xfId="0" applyBorder="1" applyProtection="1">
      <protection hidden="1"/>
    </xf>
    <xf numFmtId="2" fontId="0" fillId="0" borderId="0" xfId="3" applyNumberFormat="1" applyFont="1" applyProtection="1">
      <protection hidden="1"/>
    </xf>
    <xf numFmtId="0" fontId="3" fillId="0" borderId="26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8" xfId="0" applyFont="1" applyBorder="1" applyAlignment="1" applyProtection="1">
      <alignment horizontal="center"/>
      <protection hidden="1"/>
    </xf>
    <xf numFmtId="166" fontId="5" fillId="0" borderId="24" xfId="0" applyNumberFormat="1" applyFont="1" applyBorder="1" applyProtection="1">
      <protection hidden="1"/>
    </xf>
    <xf numFmtId="0" fontId="5" fillId="0" borderId="22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0" fontId="0" fillId="0" borderId="23" xfId="0" applyBorder="1" applyProtection="1">
      <protection hidden="1"/>
    </xf>
    <xf numFmtId="166" fontId="5" fillId="0" borderId="25" xfId="0" applyNumberFormat="1" applyFont="1" applyBorder="1" applyProtection="1">
      <protection hidden="1"/>
    </xf>
    <xf numFmtId="0" fontId="0" fillId="0" borderId="17" xfId="0" applyBorder="1" applyProtection="1">
      <protection hidden="1"/>
    </xf>
    <xf numFmtId="0" fontId="0" fillId="0" borderId="18" xfId="0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0" fillId="0" borderId="20" xfId="0" applyBorder="1" applyProtection="1">
      <protection hidden="1"/>
    </xf>
    <xf numFmtId="0" fontId="0" fillId="0" borderId="21" xfId="0" applyBorder="1" applyProtection="1">
      <protection hidden="1"/>
    </xf>
    <xf numFmtId="0" fontId="5" fillId="0" borderId="19" xfId="0" applyFont="1" applyBorder="1" applyProtection="1">
      <protection hidden="1"/>
    </xf>
    <xf numFmtId="0" fontId="5" fillId="0" borderId="20" xfId="0" applyFont="1" applyBorder="1" applyProtection="1">
      <protection hidden="1"/>
    </xf>
    <xf numFmtId="0" fontId="5" fillId="0" borderId="20" xfId="0" applyFont="1" applyBorder="1" applyAlignment="1" applyProtection="1">
      <alignment horizontal="center"/>
      <protection hidden="1"/>
    </xf>
    <xf numFmtId="0" fontId="4" fillId="0" borderId="20" xfId="0" applyFont="1" applyBorder="1" applyProtection="1">
      <protection hidden="1"/>
    </xf>
    <xf numFmtId="0" fontId="21" fillId="0" borderId="0" xfId="0" applyFont="1" applyAlignment="1">
      <alignment horizontal="right" vertical="center"/>
    </xf>
    <xf numFmtId="0" fontId="21" fillId="3" borderId="0" xfId="0" applyFont="1" applyFill="1" applyAlignment="1">
      <alignment horizontal="right" vertical="center"/>
    </xf>
    <xf numFmtId="0" fontId="11" fillId="3" borderId="0" xfId="0" applyFont="1" applyFill="1" applyBorder="1" applyAlignment="1">
      <alignment vertical="top" wrapText="1"/>
    </xf>
    <xf numFmtId="0" fontId="14" fillId="2" borderId="3" xfId="0" applyFont="1" applyFill="1" applyBorder="1" applyAlignment="1">
      <alignment horizontal="center" vertical="center" wrapText="1"/>
    </xf>
    <xf numFmtId="0" fontId="2" fillId="11" borderId="3" xfId="5" applyNumberFormat="1" applyBorder="1" applyProtection="1">
      <protection hidden="1"/>
    </xf>
    <xf numFmtId="165" fontId="30" fillId="3" borderId="0" xfId="0" applyNumberFormat="1" applyFont="1" applyFill="1"/>
    <xf numFmtId="166" fontId="30" fillId="3" borderId="0" xfId="0" applyNumberFormat="1" applyFont="1" applyFill="1" applyAlignment="1">
      <alignment horizontal="left"/>
    </xf>
    <xf numFmtId="0" fontId="31" fillId="2" borderId="0" xfId="0" applyFont="1" applyFill="1" applyBorder="1" applyAlignment="1"/>
    <xf numFmtId="0" fontId="32" fillId="0" borderId="0" xfId="0" applyFont="1" applyFill="1" applyBorder="1" applyAlignment="1"/>
    <xf numFmtId="0" fontId="31" fillId="0" borderId="0" xfId="0" applyFont="1" applyFill="1" applyBorder="1" applyAlignment="1"/>
    <xf numFmtId="165" fontId="2" fillId="11" borderId="3" xfId="5" applyNumberFormat="1" applyBorder="1" applyAlignment="1" applyProtection="1">
      <alignment horizontal="center"/>
      <protection hidden="1"/>
    </xf>
    <xf numFmtId="0" fontId="14" fillId="2" borderId="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165" fontId="14" fillId="3" borderId="1" xfId="0" applyNumberFormat="1" applyFont="1" applyFill="1" applyBorder="1" applyAlignment="1">
      <alignment horizontal="center" vertical="center" wrapText="1"/>
    </xf>
    <xf numFmtId="39" fontId="14" fillId="3" borderId="2" xfId="0" applyNumberFormat="1" applyFont="1" applyFill="1" applyBorder="1" applyAlignment="1">
      <alignment horizontal="right" indent="1"/>
    </xf>
    <xf numFmtId="10" fontId="0" fillId="0" borderId="0" xfId="3" applyNumberFormat="1" applyFont="1" applyProtection="1">
      <protection hidden="1"/>
    </xf>
    <xf numFmtId="165" fontId="14" fillId="3" borderId="12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2" fontId="0" fillId="0" borderId="0" xfId="0" applyNumberFormat="1" applyProtection="1">
      <protection hidden="1"/>
    </xf>
    <xf numFmtId="0" fontId="16" fillId="4" borderId="11" xfId="0" applyFont="1" applyFill="1" applyBorder="1" applyAlignment="1">
      <alignment vertical="center"/>
    </xf>
    <xf numFmtId="0" fontId="17" fillId="7" borderId="10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  <xf numFmtId="0" fontId="17" fillId="8" borderId="10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9" fillId="3" borderId="0" xfId="0" applyNumberFormat="1" applyFont="1" applyFill="1" applyAlignment="1">
      <alignment horizontal="left" wrapText="1"/>
    </xf>
    <xf numFmtId="0" fontId="16" fillId="4" borderId="11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/>
    </xf>
    <xf numFmtId="3" fontId="14" fillId="2" borderId="6" xfId="0" applyNumberFormat="1" applyFont="1" applyFill="1" applyBorder="1" applyAlignment="1"/>
    <xf numFmtId="3" fontId="14" fillId="2" borderId="5" xfId="0" applyNumberFormat="1" applyFont="1" applyFill="1" applyBorder="1" applyAlignment="1"/>
    <xf numFmtId="3" fontId="14" fillId="2" borderId="2" xfId="0" applyNumberFormat="1" applyFont="1" applyFill="1" applyBorder="1" applyAlignment="1"/>
    <xf numFmtId="165" fontId="14" fillId="0" borderId="3" xfId="0" applyNumberFormat="1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/>
    </xf>
    <xf numFmtId="165" fontId="14" fillId="3" borderId="3" xfId="0" applyNumberFormat="1" applyFont="1" applyFill="1" applyBorder="1" applyAlignment="1">
      <alignment horizontal="center" vertical="center" wrapText="1"/>
    </xf>
    <xf numFmtId="165" fontId="14" fillId="3" borderId="3" xfId="0" applyNumberFormat="1" applyFont="1" applyFill="1" applyBorder="1" applyAlignment="1">
      <alignment horizontal="center" vertical="center"/>
    </xf>
    <xf numFmtId="0" fontId="14" fillId="2" borderId="3" xfId="0" applyFont="1" applyFill="1" applyBorder="1"/>
    <xf numFmtId="165" fontId="14" fillId="3" borderId="12" xfId="0" applyNumberFormat="1" applyFont="1" applyFill="1" applyBorder="1" applyAlignment="1">
      <alignment horizontal="center" vertical="center" wrapText="1"/>
    </xf>
    <xf numFmtId="165" fontId="14" fillId="3" borderId="12" xfId="0" applyNumberFormat="1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center" wrapText="1"/>
    </xf>
    <xf numFmtId="0" fontId="14" fillId="2" borderId="6" xfId="0" applyFont="1" applyFill="1" applyBorder="1"/>
    <xf numFmtId="164" fontId="14" fillId="0" borderId="3" xfId="0" applyNumberFormat="1" applyFont="1" applyFill="1" applyBorder="1" applyAlignment="1">
      <alignment horizontal="center" wrapText="1"/>
    </xf>
    <xf numFmtId="0" fontId="15" fillId="2" borderId="0" xfId="0" applyFont="1" applyFill="1" applyAlignment="1">
      <alignment horizontal="left" vertical="center" wrapText="1"/>
    </xf>
    <xf numFmtId="0" fontId="17" fillId="5" borderId="3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left"/>
    </xf>
    <xf numFmtId="3" fontId="14" fillId="2" borderId="3" xfId="0" applyNumberFormat="1" applyFont="1" applyFill="1" applyBorder="1" applyAlignment="1">
      <alignment horizontal="left" vertical="center" wrapText="1"/>
    </xf>
    <xf numFmtId="169" fontId="14" fillId="3" borderId="3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left" vertical="center"/>
    </xf>
    <xf numFmtId="3" fontId="14" fillId="2" borderId="6" xfId="0" applyNumberFormat="1" applyFont="1" applyFill="1" applyBorder="1" applyAlignment="1">
      <alignment horizontal="left"/>
    </xf>
    <xf numFmtId="3" fontId="14" fillId="2" borderId="5" xfId="0" applyNumberFormat="1" applyFont="1" applyFill="1" applyBorder="1" applyAlignment="1">
      <alignment horizontal="left"/>
    </xf>
    <xf numFmtId="3" fontId="14" fillId="2" borderId="2" xfId="0" applyNumberFormat="1" applyFont="1" applyFill="1" applyBorder="1" applyAlignment="1">
      <alignment horizontal="left"/>
    </xf>
    <xf numFmtId="0" fontId="23" fillId="2" borderId="0" xfId="0" applyFont="1" applyFill="1" applyAlignment="1">
      <alignment horizontal="center" vertical="center"/>
    </xf>
    <xf numFmtId="3" fontId="14" fillId="3" borderId="3" xfId="0" applyNumberFormat="1" applyFont="1" applyFill="1" applyBorder="1" applyAlignment="1">
      <alignment horizontal="left"/>
    </xf>
    <xf numFmtId="169" fontId="14" fillId="2" borderId="3" xfId="0" applyNumberFormat="1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left" wrapText="1"/>
    </xf>
    <xf numFmtId="0" fontId="2" fillId="11" borderId="11" xfId="5" applyBorder="1" applyAlignment="1" applyProtection="1">
      <alignment horizontal="center" vertical="center"/>
      <protection hidden="1"/>
    </xf>
    <xf numFmtId="0" fontId="2" fillId="11" borderId="3" xfId="5" applyBorder="1" applyAlignment="1" applyProtection="1">
      <alignment horizontal="center" vertical="center"/>
      <protection hidden="1"/>
    </xf>
    <xf numFmtId="0" fontId="2" fillId="11" borderId="7" xfId="5" applyBorder="1" applyAlignment="1" applyProtection="1">
      <alignment horizontal="center" vertical="center"/>
      <protection hidden="1"/>
    </xf>
    <xf numFmtId="0" fontId="2" fillId="11" borderId="8" xfId="5" applyBorder="1" applyAlignment="1" applyProtection="1">
      <alignment horizontal="center" vertical="center"/>
      <protection hidden="1"/>
    </xf>
    <xf numFmtId="0" fontId="2" fillId="11" borderId="2" xfId="5" applyBorder="1" applyAlignment="1" applyProtection="1">
      <alignment horizontal="center" vertical="center" wrapText="1"/>
      <protection hidden="1"/>
    </xf>
    <xf numFmtId="0" fontId="2" fillId="11" borderId="6" xfId="5" applyBorder="1" applyAlignment="1" applyProtection="1">
      <alignment horizontal="center" vertical="center" wrapText="1"/>
      <protection hidden="1"/>
    </xf>
    <xf numFmtId="0" fontId="2" fillId="11" borderId="10" xfId="5" applyBorder="1" applyAlignment="1" applyProtection="1">
      <alignment horizontal="center" vertical="center"/>
      <protection hidden="1"/>
    </xf>
    <xf numFmtId="0" fontId="2" fillId="11" borderId="1" xfId="5" applyBorder="1" applyAlignment="1" applyProtection="1">
      <alignment horizontal="center" vertical="center"/>
      <protection hidden="1"/>
    </xf>
    <xf numFmtId="0" fontId="2" fillId="11" borderId="3" xfId="5" applyBorder="1" applyAlignment="1" applyProtection="1">
      <protection hidden="1"/>
    </xf>
    <xf numFmtId="0" fontId="2" fillId="11" borderId="7" xfId="5" applyBorder="1" applyAlignment="1" applyProtection="1">
      <alignment horizontal="center" vertical="center" wrapText="1"/>
      <protection hidden="1"/>
    </xf>
    <xf numFmtId="0" fontId="2" fillId="11" borderId="8" xfId="5" applyBorder="1" applyAlignment="1" applyProtection="1">
      <alignment horizontal="center" vertical="center" wrapText="1"/>
      <protection hidden="1"/>
    </xf>
    <xf numFmtId="0" fontId="2" fillId="11" borderId="10" xfId="5" applyBorder="1" applyAlignment="1" applyProtection="1">
      <alignment horizontal="center" vertical="center" wrapText="1"/>
      <protection hidden="1"/>
    </xf>
    <xf numFmtId="0" fontId="2" fillId="11" borderId="1" xfId="5" applyBorder="1" applyAlignment="1" applyProtection="1">
      <alignment horizontal="center" vertical="center" wrapText="1"/>
      <protection hidden="1"/>
    </xf>
    <xf numFmtId="169" fontId="2" fillId="11" borderId="3" xfId="5" applyNumberFormat="1" applyBorder="1" applyAlignment="1" applyProtection="1">
      <alignment horizontal="center" vertical="center" wrapText="1"/>
      <protection hidden="1"/>
    </xf>
    <xf numFmtId="3" fontId="2" fillId="11" borderId="3" xfId="5" applyNumberFormat="1" applyBorder="1" applyAlignment="1" applyProtection="1">
      <alignment horizontal="left"/>
      <protection hidden="1"/>
    </xf>
    <xf numFmtId="3" fontId="2" fillId="11" borderId="3" xfId="5" applyNumberFormat="1" applyBorder="1" applyAlignment="1" applyProtection="1">
      <alignment horizontal="left" wrapText="1"/>
      <protection hidden="1"/>
    </xf>
    <xf numFmtId="0" fontId="2" fillId="11" borderId="0" xfId="5" applyAlignment="1" applyProtection="1">
      <alignment horizontal="center" vertical="center" wrapText="1"/>
      <protection hidden="1"/>
    </xf>
    <xf numFmtId="0" fontId="2" fillId="11" borderId="0" xfId="5" applyBorder="1" applyAlignment="1" applyProtection="1">
      <alignment horizontal="center" vertical="center" wrapText="1"/>
      <protection hidden="1"/>
    </xf>
    <xf numFmtId="0" fontId="2" fillId="11" borderId="3" xfId="5" applyBorder="1" applyAlignment="1" applyProtection="1">
      <alignment horizontal="center" vertical="center" wrapText="1"/>
      <protection hidden="1"/>
    </xf>
    <xf numFmtId="0" fontId="2" fillId="11" borderId="3" xfId="5" applyBorder="1" applyAlignment="1" applyProtection="1">
      <alignment horizontal="left" vertical="center" wrapText="1"/>
      <protection hidden="1"/>
    </xf>
    <xf numFmtId="3" fontId="2" fillId="11" borderId="3" xfId="5" applyNumberFormat="1" applyBorder="1" applyAlignment="1" applyProtection="1">
      <alignment horizontal="left" vertical="center"/>
      <protection hidden="1"/>
    </xf>
    <xf numFmtId="3" fontId="2" fillId="11" borderId="3" xfId="5" applyNumberFormat="1" applyBorder="1" applyAlignment="1" applyProtection="1">
      <alignment horizontal="left" vertical="center" wrapText="1"/>
      <protection hidden="1"/>
    </xf>
    <xf numFmtId="0" fontId="2" fillId="11" borderId="0" xfId="5" applyBorder="1" applyAlignment="1" applyProtection="1">
      <alignment vertical="top" wrapText="1"/>
      <protection hidden="1"/>
    </xf>
    <xf numFmtId="165" fontId="2" fillId="11" borderId="3" xfId="5" applyNumberFormat="1" applyBorder="1" applyAlignment="1" applyProtection="1">
      <alignment horizontal="center" vertical="center" wrapText="1"/>
      <protection hidden="1"/>
    </xf>
    <xf numFmtId="3" fontId="2" fillId="11" borderId="6" xfId="5" applyNumberFormat="1" applyBorder="1" applyAlignment="1" applyProtection="1">
      <protection hidden="1"/>
    </xf>
    <xf numFmtId="3" fontId="2" fillId="11" borderId="5" xfId="5" applyNumberFormat="1" applyBorder="1" applyAlignment="1" applyProtection="1">
      <protection hidden="1"/>
    </xf>
    <xf numFmtId="3" fontId="2" fillId="11" borderId="2" xfId="5" applyNumberFormat="1" applyBorder="1" applyAlignment="1" applyProtection="1">
      <protection hidden="1"/>
    </xf>
    <xf numFmtId="0" fontId="2" fillId="11" borderId="0" xfId="5" applyNumberFormat="1" applyAlignment="1" applyProtection="1">
      <alignment horizontal="left" wrapText="1"/>
      <protection hidden="1"/>
    </xf>
    <xf numFmtId="0" fontId="2" fillId="11" borderId="6" xfId="5" applyBorder="1" applyAlignment="1" applyProtection="1">
      <alignment horizontal="center" wrapText="1"/>
      <protection hidden="1"/>
    </xf>
    <xf numFmtId="0" fontId="2" fillId="11" borderId="2" xfId="5" applyBorder="1" applyAlignment="1" applyProtection="1">
      <alignment horizontal="center" wrapText="1"/>
      <protection hidden="1"/>
    </xf>
    <xf numFmtId="0" fontId="2" fillId="11" borderId="6" xfId="5" applyBorder="1" applyAlignment="1" applyProtection="1">
      <alignment horizontal="center"/>
      <protection hidden="1"/>
    </xf>
    <xf numFmtId="0" fontId="2" fillId="11" borderId="2" xfId="5" applyBorder="1" applyAlignment="1" applyProtection="1">
      <alignment horizontal="center"/>
      <protection hidden="1"/>
    </xf>
    <xf numFmtId="0" fontId="2" fillId="11" borderId="3" xfId="5" applyBorder="1" applyAlignment="1" applyProtection="1">
      <alignment horizontal="center"/>
      <protection hidden="1"/>
    </xf>
    <xf numFmtId="165" fontId="2" fillId="11" borderId="3" xfId="5" applyNumberFormat="1" applyBorder="1" applyAlignment="1" applyProtection="1">
      <alignment horizontal="center" vertical="center"/>
      <protection hidden="1"/>
    </xf>
    <xf numFmtId="165" fontId="2" fillId="11" borderId="12" xfId="5" applyNumberFormat="1" applyBorder="1" applyAlignment="1" applyProtection="1">
      <alignment horizontal="center" vertical="center" wrapText="1"/>
      <protection hidden="1"/>
    </xf>
    <xf numFmtId="165" fontId="2" fillId="11" borderId="12" xfId="5" applyNumberFormat="1" applyBorder="1" applyAlignment="1" applyProtection="1">
      <alignment horizontal="center" vertical="center"/>
      <protection hidden="1"/>
    </xf>
    <xf numFmtId="0" fontId="2" fillId="11" borderId="0" xfId="5" applyBorder="1" applyAlignment="1" applyProtection="1">
      <alignment horizontal="left" vertical="center" wrapText="1"/>
      <protection hidden="1"/>
    </xf>
    <xf numFmtId="0" fontId="2" fillId="11" borderId="9" xfId="5" applyBorder="1" applyAlignment="1" applyProtection="1">
      <alignment horizontal="left" vertical="center" wrapText="1"/>
      <protection hidden="1"/>
    </xf>
    <xf numFmtId="0" fontId="2" fillId="11" borderId="4" xfId="5" applyBorder="1" applyAlignment="1" applyProtection="1">
      <alignment horizontal="left" vertical="center" wrapText="1"/>
      <protection hidden="1"/>
    </xf>
    <xf numFmtId="0" fontId="2" fillId="11" borderId="1" xfId="5" applyBorder="1" applyAlignment="1" applyProtection="1">
      <alignment horizontal="left" vertical="center" wrapText="1"/>
      <protection hidden="1"/>
    </xf>
    <xf numFmtId="164" fontId="2" fillId="11" borderId="3" xfId="5" applyNumberFormat="1" applyBorder="1" applyAlignment="1" applyProtection="1">
      <alignment horizontal="center" wrapText="1"/>
      <protection hidden="1"/>
    </xf>
    <xf numFmtId="164" fontId="2" fillId="11" borderId="3" xfId="5" applyNumberFormat="1" applyBorder="1" applyAlignment="1" applyProtection="1">
      <alignment horizontal="center" vertical="center" wrapText="1"/>
      <protection hidden="1"/>
    </xf>
    <xf numFmtId="165" fontId="2" fillId="11" borderId="3" xfId="5" applyNumberFormat="1" applyBorder="1" applyAlignment="1" applyProtection="1">
      <alignment horizontal="center"/>
      <protection hidden="1"/>
    </xf>
    <xf numFmtId="164" fontId="2" fillId="11" borderId="3" xfId="5" applyNumberFormat="1" applyBorder="1" applyAlignment="1" applyProtection="1">
      <alignment horizontal="center" vertical="center"/>
      <protection hidden="1"/>
    </xf>
    <xf numFmtId="0" fontId="2" fillId="11" borderId="3" xfId="5" applyBorder="1" applyProtection="1">
      <protection hidden="1"/>
    </xf>
    <xf numFmtId="0" fontId="2" fillId="11" borderId="14" xfId="5" applyBorder="1" applyAlignment="1" applyProtection="1">
      <alignment horizontal="center" vertical="center" wrapText="1"/>
      <protection hidden="1"/>
    </xf>
    <xf numFmtId="0" fontId="2" fillId="11" borderId="9" xfId="5" applyBorder="1" applyAlignment="1" applyProtection="1">
      <alignment horizontal="center" vertical="center" wrapText="1"/>
      <protection hidden="1"/>
    </xf>
    <xf numFmtId="0" fontId="2" fillId="11" borderId="0" xfId="5" applyAlignment="1" applyProtection="1">
      <alignment horizontal="left" vertical="center" wrapText="1"/>
      <protection hidden="1"/>
    </xf>
    <xf numFmtId="0" fontId="2" fillId="11" borderId="6" xfId="5" applyBorder="1" applyProtection="1">
      <protection hidden="1"/>
    </xf>
    <xf numFmtId="3" fontId="1" fillId="11" borderId="6" xfId="5" applyNumberFormat="1" applyFont="1" applyBorder="1" applyAlignment="1" applyProtection="1">
      <alignment horizontal="center"/>
      <protection hidden="1"/>
    </xf>
    <xf numFmtId="3" fontId="2" fillId="11" borderId="5" xfId="5" applyNumberFormat="1" applyBorder="1" applyAlignment="1" applyProtection="1">
      <alignment horizontal="center"/>
      <protection hidden="1"/>
    </xf>
    <xf numFmtId="3" fontId="2" fillId="11" borderId="2" xfId="5" applyNumberFormat="1" applyBorder="1" applyAlignment="1" applyProtection="1">
      <alignment horizontal="center"/>
      <protection hidden="1"/>
    </xf>
    <xf numFmtId="165" fontId="33" fillId="3" borderId="0" xfId="0" applyNumberFormat="1" applyFont="1" applyFill="1" applyAlignment="1">
      <alignment horizontal="center" wrapText="1"/>
    </xf>
    <xf numFmtId="165" fontId="34" fillId="3" borderId="0" xfId="0" applyNumberFormat="1" applyFont="1" applyFill="1" applyAlignment="1">
      <alignment horizontal="left"/>
    </xf>
    <xf numFmtId="0" fontId="35" fillId="3" borderId="0" xfId="0" applyFont="1" applyFill="1"/>
    <xf numFmtId="0" fontId="35" fillId="0" borderId="0" xfId="0" applyFont="1"/>
    <xf numFmtId="165" fontId="35" fillId="3" borderId="0" xfId="0" applyNumberFormat="1" applyFont="1" applyFill="1"/>
  </cellXfs>
  <cellStyles count="6">
    <cellStyle name="40 % - Akzent3" xfId="5" builtinId="39"/>
    <cellStyle name="Eingabe" xfId="4" builtinId="20"/>
    <cellStyle name="GENERAL" xfId="1"/>
    <cellStyle name="Product Heading" xfId="2"/>
    <cellStyle name="Prozent" xfId="3" builtinId="5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2BF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4</xdr:col>
      <xdr:colOff>0</xdr:colOff>
      <xdr:row>2</xdr:row>
      <xdr:rowOff>385756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0"/>
          <a:ext cx="4400550" cy="862006"/>
        </a:xfrm>
        <a:prstGeom prst="rect">
          <a:avLst/>
        </a:prstGeom>
      </xdr:spPr>
    </xdr:pic>
    <xdr:clientData/>
  </xdr:twoCellAnchor>
  <xdr:twoCellAnchor>
    <xdr:from>
      <xdr:col>10</xdr:col>
      <xdr:colOff>67734</xdr:colOff>
      <xdr:row>0</xdr:row>
      <xdr:rowOff>0</xdr:rowOff>
    </xdr:from>
    <xdr:to>
      <xdr:col>10</xdr:col>
      <xdr:colOff>1952625</xdr:colOff>
      <xdr:row>3</xdr:row>
      <xdr:rowOff>19050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231159" y="0"/>
          <a:ext cx="1884891" cy="9429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800"/>
            <a:t>Select</a:t>
          </a:r>
          <a:r>
            <a:rPr lang="en-US" sz="800" baseline="0"/>
            <a:t> Region/Currency, Price Group, and Partner Status fom the dropdown boxes.</a:t>
          </a:r>
          <a:endParaRPr 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288"/>
  <sheetViews>
    <sheetView showGridLines="0" tabSelected="1" zoomScaleNormal="100" workbookViewId="0">
      <pane xSplit="11" ySplit="3" topLeftCell="L4" activePane="bottomRight" state="frozen"/>
      <selection pane="topRight" activeCell="L1" sqref="L1"/>
      <selection pane="bottomLeft" activeCell="A4" sqref="A4"/>
      <selection pane="bottomRight" activeCell="A4" sqref="A4:D5"/>
    </sheetView>
  </sheetViews>
  <sheetFormatPr baseColWidth="10" defaultColWidth="9.140625" defaultRowHeight="12.75"/>
  <cols>
    <col min="1" max="1" width="19.85546875" customWidth="1"/>
    <col min="2" max="2" width="13" bestFit="1" customWidth="1"/>
    <col min="3" max="3" width="21" bestFit="1" customWidth="1"/>
    <col min="4" max="4" width="13.140625" customWidth="1"/>
    <col min="5" max="5" width="22.28515625" customWidth="1"/>
    <col min="6" max="6" width="12.42578125" customWidth="1"/>
    <col min="7" max="7" width="21.85546875" bestFit="1" customWidth="1"/>
    <col min="8" max="8" width="19.7109375" bestFit="1" customWidth="1"/>
    <col min="9" max="9" width="22.28515625" customWidth="1"/>
    <col min="10" max="10" width="24.5703125" customWidth="1"/>
    <col min="11" max="11" width="50.7109375" customWidth="1"/>
    <col min="12" max="12" width="16.7109375" customWidth="1"/>
    <col min="13" max="13" width="16.140625" customWidth="1"/>
    <col min="19" max="19" width="5.140625" customWidth="1"/>
  </cols>
  <sheetData>
    <row r="1" spans="1:21" ht="21" thickBot="1">
      <c r="A1" s="6"/>
      <c r="B1" s="7"/>
      <c r="C1" s="8"/>
      <c r="D1" s="1"/>
      <c r="E1" s="357" t="s">
        <v>569</v>
      </c>
      <c r="F1" s="357"/>
      <c r="G1" s="358"/>
      <c r="H1" s="359"/>
      <c r="I1" s="208" t="s">
        <v>536</v>
      </c>
      <c r="J1" s="104" t="s">
        <v>479</v>
      </c>
      <c r="U1" s="92" t="s">
        <v>489</v>
      </c>
    </row>
    <row r="2" spans="1:21" ht="21" thickBot="1">
      <c r="A2" s="6"/>
      <c r="B2" s="7"/>
      <c r="C2" s="8"/>
      <c r="D2" s="1"/>
      <c r="E2" s="357" t="s">
        <v>570</v>
      </c>
      <c r="F2" s="357"/>
      <c r="G2" s="360"/>
      <c r="H2" s="358"/>
      <c r="I2" s="209" t="s">
        <v>538</v>
      </c>
      <c r="J2" s="104" t="s">
        <v>528</v>
      </c>
      <c r="L2" s="86"/>
    </row>
    <row r="3" spans="1:21" ht="30.75" thickBot="1">
      <c r="A3" s="6"/>
      <c r="B3" s="7"/>
      <c r="C3" s="8"/>
      <c r="D3" s="1"/>
      <c r="E3" s="33" t="str">
        <f>IF(J2="Gov/Edu/NonProfit",HLOOKUP($U$1,Phrasing!A:A,21,FALSE),"")</f>
        <v/>
      </c>
      <c r="F3" s="9"/>
      <c r="G3" s="1"/>
      <c r="H3" s="9"/>
      <c r="I3" s="209" t="s">
        <v>509</v>
      </c>
      <c r="J3" s="104" t="s">
        <v>504</v>
      </c>
    </row>
    <row r="4" spans="1:21" ht="20.25" customHeight="1">
      <c r="A4" s="300"/>
      <c r="B4" s="300"/>
      <c r="C4" s="300"/>
      <c r="D4" s="300"/>
      <c r="E4" s="35" t="str">
        <f>HLOOKUP($U$1,Phrasing!A:A,3,FALSE)</f>
        <v>* All prices subject to change without notice.  Contact StorageCraft for the most current pricing.</v>
      </c>
      <c r="F4" s="36"/>
      <c r="G4" s="35"/>
      <c r="H4" s="36"/>
      <c r="I4" s="35"/>
      <c r="J4" s="9"/>
      <c r="K4" s="35"/>
      <c r="L4" s="35"/>
    </row>
    <row r="5" spans="1:21" ht="20.25" customHeight="1">
      <c r="A5" s="300"/>
      <c r="B5" s="300"/>
      <c r="C5" s="300"/>
      <c r="D5" s="300"/>
      <c r="E5" s="35"/>
      <c r="F5" s="36"/>
      <c r="G5" s="35"/>
      <c r="H5" s="36"/>
      <c r="I5" s="35"/>
      <c r="J5" s="9"/>
      <c r="K5" s="35"/>
      <c r="L5" s="35"/>
      <c r="P5" s="91"/>
      <c r="Q5" s="90"/>
    </row>
    <row r="6" spans="1:21">
      <c r="A6" s="7"/>
      <c r="B6" s="7"/>
      <c r="C6" s="8"/>
      <c r="D6" s="1"/>
      <c r="E6" s="9"/>
      <c r="F6" s="1"/>
      <c r="G6" s="9"/>
      <c r="H6" s="1"/>
      <c r="I6" s="9"/>
      <c r="J6" s="1"/>
      <c r="K6" s="9"/>
    </row>
    <row r="7" spans="1:21">
      <c r="A7" s="7"/>
      <c r="B7" s="7"/>
      <c r="C7" s="8"/>
      <c r="D7" s="1"/>
      <c r="E7" s="9"/>
      <c r="F7" s="1"/>
      <c r="G7" s="9"/>
      <c r="H7" s="1"/>
      <c r="I7" s="9"/>
      <c r="J7" s="1"/>
      <c r="K7" s="9"/>
    </row>
    <row r="8" spans="1:21">
      <c r="A8" s="7"/>
      <c r="B8" s="7"/>
      <c r="C8" s="8"/>
      <c r="D8" s="1"/>
      <c r="E8" s="9"/>
      <c r="F8" s="1"/>
      <c r="G8" s="9"/>
      <c r="H8" s="1"/>
      <c r="I8" s="9"/>
      <c r="J8" s="1"/>
      <c r="K8" s="9"/>
    </row>
    <row r="9" spans="1:21">
      <c r="A9" s="14"/>
      <c r="B9" s="7"/>
      <c r="C9" s="8"/>
      <c r="D9" s="1"/>
      <c r="E9" s="9"/>
      <c r="F9" s="1"/>
      <c r="G9" s="9"/>
      <c r="H9" s="1"/>
      <c r="I9" s="9"/>
      <c r="J9" s="1"/>
      <c r="K9" s="9"/>
    </row>
    <row r="10" spans="1:21" ht="20.25">
      <c r="A10" s="215" t="s">
        <v>519</v>
      </c>
      <c r="B10" s="216"/>
      <c r="C10" s="216"/>
      <c r="D10" s="12"/>
      <c r="E10" s="9"/>
      <c r="F10" s="1"/>
      <c r="G10" s="9"/>
      <c r="H10" s="1"/>
      <c r="I10" s="9"/>
      <c r="J10" s="213" t="str">
        <f>HLOOKUP($U$1,Phrasing!A:A,35,FALSE)</f>
        <v xml:space="preserve">Prices Valid:  </v>
      </c>
      <c r="K10" s="214">
        <f>XE!M3</f>
        <v>42917</v>
      </c>
      <c r="M10" s="93"/>
    </row>
    <row r="11" spans="1:21" ht="15.75" customHeight="1">
      <c r="A11" s="253" t="str">
        <f>HLOOKUP($U$1,Phrasing!A:A,20,FALSE)</f>
        <v>First year of maintenance is included in the purchase price.  *Premium Support requires an active Maintenance Agreement.</v>
      </c>
      <c r="B11" s="253"/>
      <c r="C11" s="254"/>
      <c r="D11" s="259" t="str">
        <f>CONCATENATE(IF('Perpetual Pricing'!$J$2="Standard",HLOOKUP($U$1,Phrasing!A:A,48,FALSE),IF('Perpetual Pricing'!$J$2="Gov/Edu/NonProfit",HLOOKUP($U$1,Phrasing!A:A,49,FALSE),"???"))," - ",$J$3,, " - ",VLOOKUP($J$3,PARTNERPROGRAM!$U$5:$V$9,2,FALSE))</f>
        <v>Standard Pricing - Non Partner - SRP</v>
      </c>
      <c r="E11" s="259"/>
      <c r="F11" s="259"/>
      <c r="G11" s="259"/>
      <c r="H11" s="260"/>
      <c r="I11" s="260"/>
      <c r="J11" s="259"/>
      <c r="K11" s="259"/>
    </row>
    <row r="12" spans="1:21" ht="12.75" customHeight="1">
      <c r="A12" s="253"/>
      <c r="B12" s="253"/>
      <c r="C12" s="254"/>
      <c r="D12" s="235" t="str">
        <f>HLOOKUP($U$1,Phrasing!A:A,40,FALSE)</f>
        <v>New</v>
      </c>
      <c r="E12" s="236"/>
      <c r="F12" s="237" t="str">
        <f>HLOOKUP($U$1,Phrasing!A:A,158,FALSE)</f>
        <v>Upgrade</v>
      </c>
      <c r="G12" s="238"/>
      <c r="H12" s="230" t="str">
        <f>HLOOKUP($U$1,Phrasing!A:A,170,FALSE)</f>
        <v>1Yr Maintenance</v>
      </c>
      <c r="I12" s="231"/>
      <c r="J12" s="239" t="str">
        <f>HLOOKUP($U$1,Phrasing!A:A,45,FALSE)</f>
        <v>Premium Support</v>
      </c>
      <c r="K12" s="240"/>
    </row>
    <row r="13" spans="1:21">
      <c r="A13" s="255"/>
      <c r="B13" s="255"/>
      <c r="C13" s="256"/>
      <c r="D13" s="243" t="str">
        <f>HLOOKUP($U$1,Phrasing!A:A,23,FALSE)</f>
        <v>Includes one year of Maintenance</v>
      </c>
      <c r="E13" s="244"/>
      <c r="F13" s="245" t="str">
        <f>HLOOKUP($U$1,Phrasing!A:A,23,FALSE)</f>
        <v>Includes one year of Maintenance</v>
      </c>
      <c r="G13" s="246"/>
      <c r="H13" s="228" t="str">
        <f>HLOOKUP($U$1,Phrasing!A:A,171,FALSE)</f>
        <v>Renewal</v>
      </c>
      <c r="I13" s="229"/>
      <c r="J13" s="241"/>
      <c r="K13" s="242"/>
    </row>
    <row r="14" spans="1:21" ht="25.5">
      <c r="A14" s="97" t="str">
        <f>HLOOKUP($U$1,Phrasing!A:A,50,FALSE)</f>
        <v>Quantity</v>
      </c>
      <c r="B14" s="97" t="str">
        <f>HLOOKUP($U$1,Phrasing!A:A,18,FALSE)</f>
        <v>Discount Level</v>
      </c>
      <c r="C14" s="97" t="str">
        <f>HLOOKUP($U$1,Phrasing!A:A,19,FALSE)</f>
        <v>Discount off  single user license</v>
      </c>
      <c r="D14" s="100" t="str">
        <f>CONCATENATE(HLOOKUP($U$1,Phrasing!A:A,46,FALSE),": ",VLOOKUP('Perpetual Pricing'!$J$1,XE!$A:$B,2,FALSE))</f>
        <v>Price: EUR</v>
      </c>
      <c r="E14" s="38" t="str">
        <f>HLOOKUP($U$1,Phrasing!A:A,43,FALSE)</f>
        <v>Part Number</v>
      </c>
      <c r="F14" s="100" t="str">
        <f>CONCATENATE(HLOOKUP($U$1,Phrasing!A:A,46,FALSE),": ",VLOOKUP('Perpetual Pricing'!$J$1,XE!$A:$B,2,FALSE))</f>
        <v>Price: EUR</v>
      </c>
      <c r="G14" s="38" t="str">
        <f>HLOOKUP($U$1,Phrasing!A:A,43,FALSE)</f>
        <v>Part Number</v>
      </c>
      <c r="H14" s="100" t="str">
        <f>CONCATENATE(HLOOKUP($U$1,Phrasing!A:A,46,FALSE),": ",VLOOKUP('Perpetual Pricing'!$J$1,XE!$A:$B,2,FALSE))</f>
        <v>Price: EUR</v>
      </c>
      <c r="I14" s="96" t="str">
        <f>HLOOKUP($U$1,Phrasing!A:A,43,FALSE)</f>
        <v>Part Number</v>
      </c>
      <c r="J14" s="100" t="str">
        <f>CONCATENATE(HLOOKUP($U$1,Phrasing!A:A,46,FALSE),": ",VLOOKUP('Perpetual Pricing'!$J$1,XE!$A:$B,2,FALSE))</f>
        <v>Price: EUR</v>
      </c>
      <c r="K14" s="38" t="str">
        <f>HLOOKUP($U$1,Phrasing!A:A,43,FALSE)</f>
        <v>Part Number</v>
      </c>
    </row>
    <row r="15" spans="1:21">
      <c r="A15" s="40" t="s">
        <v>14</v>
      </c>
      <c r="B15" s="98" t="s">
        <v>15</v>
      </c>
      <c r="C15" s="51">
        <v>0</v>
      </c>
      <c r="D15" s="85" t="str">
        <f>TEXT(ROUND(VLOOKUP('Perpetual Pricing'!$J$2,XE!$M$5:$N$6,2,FALSE)*BASE!D15*VLOOKUP('Perpetual Pricing'!$J$1,XE!$A:$F,6,FALSE)* (HLOOKUP($J$3,PARTNERPROGRAM!$D$7:$H$8,2,FALSE)),VLOOKUP('Perpetual Pricing'!$J$1,XE!$A:$H,8,FALSE)),VLOOKUP('Perpetual Pricing'!$J$1,XE!$A:$G,7,FALSE))</f>
        <v>874,8800</v>
      </c>
      <c r="E15" s="42" t="str">
        <f>CONCATENATE(LEFT(BASE!E15,6),VLOOKUP('Perpetual Pricing'!$J$1,XE!$A:$C,3,FALSE),MID(BASE!E15,9,1),IF('Perpetual Pricing'!$J$2="Standard","S","G"),RIGHT(BASE!E15,7))</f>
        <v>XSPX00EUPS0100ZZZ</v>
      </c>
      <c r="F15" s="85" t="str">
        <f>TEXT(ROUND(VLOOKUP('Perpetual Pricing'!$J$2,XE!$M$5:$N$6,2,FALSE)*BASE!F15*VLOOKUP('Perpetual Pricing'!$J$1,XE!$A:$F,6,FALSE)* (HLOOKUP($J$3,PARTNERPROGRAM!$D$7:$H$8,2,FALSE)),VLOOKUP('Perpetual Pricing'!$J$1,XE!$A:$H,8,FALSE)),VLOOKUP('Perpetual Pricing'!$J$1,XE!$A:$G,7,FALSE))</f>
        <v>437,4400</v>
      </c>
      <c r="G15" s="42" t="str">
        <f>CONCATENATE(LEFT(BASE!G15,6),VLOOKUP('Perpetual Pricing'!$J$1,XE!$A:$C,3,FALSE),MID(BASE!G15,9,1),IF('Perpetual Pricing'!$J$2="Standard","S","G"),RIGHT(BASE!G15,7))</f>
        <v>XSPX00EUUS0100ZZZ</v>
      </c>
      <c r="H15" s="85" t="str">
        <f>TEXT(ROUND(VLOOKUP('Perpetual Pricing'!$J$2,XE!$M$5:$N$6,2,FALSE)*BASE!H15*VLOOKUP('Perpetual Pricing'!$J$1,XE!$A:$F,6,FALSE)* (HLOOKUP($J$3,PARTNERPROGRAM!$D$7:$H$8,2,FALSE)),VLOOKUP('Perpetual Pricing'!$J$1,XE!$A:$H,8,FALSE)),VLOOKUP('Perpetual Pricing'!$J$1,XE!$A:$G,7,FALSE))</f>
        <v>174,9800</v>
      </c>
      <c r="I15" s="42" t="str">
        <f>CONCATENATE(LEFT(BASE!I15,6),VLOOKUP('Perpetual Pricing'!$J$1,XE!$A:$C,3,FALSE),MID(BASE!I15,9,1),IF('Perpetual Pricing'!$J$2="Standard","S","G"),RIGHT(BASE!I15,7))</f>
        <v>XSPX00EUMS011YZZZ</v>
      </c>
      <c r="J15" s="85" t="str">
        <f>TEXT(ROUND(VLOOKUP('Perpetual Pricing'!$J$2,XE!$M$5:$N$6,2,FALSE)*BASE!J15*VLOOKUP('Perpetual Pricing'!$J$1,XE!$A:$F,6,FALSE)* (HLOOKUP($J$3,PARTNERPROGRAM!$D$7:$H$8,2,FALSE)),VLOOKUP('Perpetual Pricing'!$J$1,XE!$A:$H,8,FALSE)),VLOOKUP('Perpetual Pricing'!$J$1,XE!$A:$G,7,FALSE))</f>
        <v>131,2300</v>
      </c>
      <c r="K15" s="42" t="str">
        <f>CONCATENATE(LEFT(BASE!K15,6),VLOOKUP('Perpetual Pricing'!$J$1,XE!$A:$C,3,FALSE),MID(BASE!K15,9,1),IF('Perpetual Pricing'!$J$2="Standard","S","G"),RIGHT(BASE!K15,7))</f>
        <v>XSPX00EUSS011YZZZ</v>
      </c>
    </row>
    <row r="16" spans="1:21">
      <c r="A16" s="40" t="s">
        <v>20</v>
      </c>
      <c r="B16" s="98" t="s">
        <v>21</v>
      </c>
      <c r="C16" s="52">
        <f>BASE!$M$2</f>
        <v>0.09</v>
      </c>
      <c r="D16" s="85" t="str">
        <f>TEXT(ROUND(VLOOKUP('Perpetual Pricing'!$J$2,XE!$M$5:$N$6,2,FALSE)*BASE!D16*VLOOKUP('Perpetual Pricing'!$J$1,XE!$A:$F,6,FALSE)* (HLOOKUP($J$3,PARTNERPROGRAM!$D$7:$H$8,2,FALSE)),VLOOKUP('Perpetual Pricing'!$J$1,XE!$A:$H,8,FALSE)),VLOOKUP('Perpetual Pricing'!$J$1,XE!$A:$G,7,FALSE))</f>
        <v>796,1400</v>
      </c>
      <c r="E16" s="42" t="str">
        <f>CONCATENATE(LEFT(BASE!E16,6),VLOOKUP('Perpetual Pricing'!$J$1,XE!$A:$C,3,FALSE),MID(BASE!E16,9,1),IF('Perpetual Pricing'!$J$2="Standard","S","G"),RIGHT(BASE!E16,7))</f>
        <v>XSPX00EUPS0100ZZA</v>
      </c>
      <c r="F16" s="85" t="str">
        <f>TEXT(ROUND(VLOOKUP('Perpetual Pricing'!$J$2,XE!$M$5:$N$6,2,FALSE)*BASE!F16*VLOOKUP('Perpetual Pricing'!$J$1,XE!$A:$F,6,FALSE)* (HLOOKUP($J$3,PARTNERPROGRAM!$D$7:$H$8,2,FALSE)),VLOOKUP('Perpetual Pricing'!$J$1,XE!$A:$H,8,FALSE)),VLOOKUP('Perpetual Pricing'!$J$1,XE!$A:$G,7,FALSE))</f>
        <v>398,0700</v>
      </c>
      <c r="G16" s="42" t="str">
        <f>CONCATENATE(LEFT(BASE!G16,6),VLOOKUP('Perpetual Pricing'!$J$1,XE!$A:$C,3,FALSE),MID(BASE!G16,9,1),IF('Perpetual Pricing'!$J$2="Standard","S","G"),RIGHT(BASE!G16,7))</f>
        <v>XSPX00EUUS0100ZZA</v>
      </c>
      <c r="H16" s="85" t="str">
        <f>TEXT(ROUND(VLOOKUP('Perpetual Pricing'!$J$2,XE!$M$5:$N$6,2,FALSE)*BASE!H16*VLOOKUP('Perpetual Pricing'!$J$1,XE!$A:$F,6,FALSE)* (HLOOKUP($J$3,PARTNERPROGRAM!$D$7:$H$8,2,FALSE)),VLOOKUP('Perpetual Pricing'!$J$1,XE!$A:$H,8,FALSE)),VLOOKUP('Perpetual Pricing'!$J$1,XE!$A:$G,7,FALSE))</f>
        <v>159,2300</v>
      </c>
      <c r="I16" s="42" t="str">
        <f>CONCATENATE(LEFT(BASE!I16,6),VLOOKUP('Perpetual Pricing'!$J$1,XE!$A:$C,3,FALSE),MID(BASE!I16,9,1),IF('Perpetual Pricing'!$J$2="Standard","S","G"),RIGHT(BASE!I16,7))</f>
        <v>XSPX00EUMS011YZZA</v>
      </c>
      <c r="J16" s="85" t="str">
        <f>TEXT(ROUND(VLOOKUP('Perpetual Pricing'!$J$2,XE!$M$5:$N$6,2,FALSE)*BASE!J16*VLOOKUP('Perpetual Pricing'!$J$1,XE!$A:$F,6,FALSE)* (HLOOKUP($J$3,PARTNERPROGRAM!$D$7:$H$8,2,FALSE)),VLOOKUP('Perpetual Pricing'!$J$1,XE!$A:$H,8,FALSE)),VLOOKUP('Perpetual Pricing'!$J$1,XE!$A:$G,7,FALSE))</f>
        <v>119,4200</v>
      </c>
      <c r="K16" s="42" t="str">
        <f>CONCATENATE(LEFT(BASE!K16,6),VLOOKUP('Perpetual Pricing'!$J$1,XE!$A:$C,3,FALSE),MID(BASE!K16,9,1),IF('Perpetual Pricing'!$J$2="Standard","S","G"),RIGHT(BASE!K16,7))</f>
        <v>XSPX00EUSS011YZZA</v>
      </c>
    </row>
    <row r="17" spans="1:11">
      <c r="A17" s="40" t="s">
        <v>26</v>
      </c>
      <c r="B17" s="98" t="s">
        <v>27</v>
      </c>
      <c r="C17" s="52">
        <f>BASE!$M$3</f>
        <v>0.23300000000000001</v>
      </c>
      <c r="D17" s="85" t="str">
        <f>TEXT(ROUND(VLOOKUP('Perpetual Pricing'!$J$2,XE!$M$5:$N$6,2,FALSE)*BASE!D17*VLOOKUP('Perpetual Pricing'!$J$1,XE!$A:$F,6,FALSE)* (HLOOKUP($J$3,PARTNERPROGRAM!$D$7:$H$8,2,FALSE)),VLOOKUP('Perpetual Pricing'!$J$1,XE!$A:$H,8,FALSE)),VLOOKUP('Perpetual Pricing'!$J$1,XE!$A:$G,7,FALSE))</f>
        <v>671,0300</v>
      </c>
      <c r="E17" s="42" t="str">
        <f>CONCATENATE(LEFT(BASE!E17,6),VLOOKUP('Perpetual Pricing'!$J$1,XE!$A:$C,3,FALSE),MID(BASE!E17,9,1),IF('Perpetual Pricing'!$J$2="Standard","S","G"),RIGHT(BASE!E17,7))</f>
        <v>XSPX00EUPS0100ZZB</v>
      </c>
      <c r="F17" s="85" t="str">
        <f>TEXT(ROUND(VLOOKUP('Perpetual Pricing'!$J$2,XE!$M$5:$N$6,2,FALSE)*BASE!F17*VLOOKUP('Perpetual Pricing'!$J$1,XE!$A:$F,6,FALSE)* (HLOOKUP($J$3,PARTNERPROGRAM!$D$7:$H$8,2,FALSE)),VLOOKUP('Perpetual Pricing'!$J$1,XE!$A:$H,8,FALSE)),VLOOKUP('Perpetual Pricing'!$J$1,XE!$A:$G,7,FALSE))</f>
        <v>335,5100</v>
      </c>
      <c r="G17" s="42" t="str">
        <f>CONCATENATE(LEFT(BASE!G17,6),VLOOKUP('Perpetual Pricing'!$J$1,XE!$A:$C,3,FALSE),MID(BASE!G17,9,1),IF('Perpetual Pricing'!$J$2="Standard","S","G"),RIGHT(BASE!G17,7))</f>
        <v>XSPX00EUUS0100ZZB</v>
      </c>
      <c r="H17" s="85" t="str">
        <f>TEXT(ROUND(VLOOKUP('Perpetual Pricing'!$J$2,XE!$M$5:$N$6,2,FALSE)*BASE!H17*VLOOKUP('Perpetual Pricing'!$J$1,XE!$A:$F,6,FALSE)* (HLOOKUP($J$3,PARTNERPROGRAM!$D$7:$H$8,2,FALSE)),VLOOKUP('Perpetual Pricing'!$J$1,XE!$A:$H,8,FALSE)),VLOOKUP('Perpetual Pricing'!$J$1,XE!$A:$G,7,FALSE))</f>
        <v>134,200</v>
      </c>
      <c r="I17" s="42" t="str">
        <f>CONCATENATE(LEFT(BASE!I17,6),VLOOKUP('Perpetual Pricing'!$J$1,XE!$A:$C,3,FALSE),MID(BASE!I17,9,1),IF('Perpetual Pricing'!$J$2="Standard","S","G"),RIGHT(BASE!I17,7))</f>
        <v>XSPX00EUMS011YZZB</v>
      </c>
      <c r="J17" s="85" t="str">
        <f>TEXT(ROUND(VLOOKUP('Perpetual Pricing'!$J$2,XE!$M$5:$N$6,2,FALSE)*BASE!J17*VLOOKUP('Perpetual Pricing'!$J$1,XE!$A:$F,6,FALSE)* (HLOOKUP($J$3,PARTNERPROGRAM!$D$7:$H$8,2,FALSE)),VLOOKUP('Perpetual Pricing'!$J$1,XE!$A:$H,8,FALSE)),VLOOKUP('Perpetual Pricing'!$J$1,XE!$A:$G,7,FALSE))</f>
        <v>100,6600</v>
      </c>
      <c r="K17" s="42" t="str">
        <f>CONCATENATE(LEFT(BASE!K17,6),VLOOKUP('Perpetual Pricing'!$J$1,XE!$A:$C,3,FALSE),MID(BASE!K17,9,1),IF('Perpetual Pricing'!$J$2="Standard","S","G"),RIGHT(BASE!K17,7))</f>
        <v>XSPX00EUSS011YZZB</v>
      </c>
    </row>
    <row r="18" spans="1:11">
      <c r="A18" s="43" t="s">
        <v>32</v>
      </c>
      <c r="B18" s="98" t="s">
        <v>33</v>
      </c>
      <c r="C18" s="52">
        <f>BASE!$M$4</f>
        <v>0.377</v>
      </c>
      <c r="D18" s="85" t="str">
        <f>TEXT(ROUND(VLOOKUP('Perpetual Pricing'!$J$2,XE!$M$5:$N$6,2,FALSE)*BASE!D18*VLOOKUP('Perpetual Pricing'!$J$1,XE!$A:$F,6,FALSE)* (HLOOKUP($J$3,PARTNERPROGRAM!$D$7:$H$8,2,FALSE)),VLOOKUP('Perpetual Pricing'!$J$1,XE!$A:$H,8,FALSE)),VLOOKUP('Perpetual Pricing'!$J$1,XE!$A:$G,7,FALSE))</f>
        <v>545,0500</v>
      </c>
      <c r="E18" s="42" t="str">
        <f>CONCATENATE(LEFT(BASE!E18,6),VLOOKUP('Perpetual Pricing'!$J$1,XE!$A:$C,3,FALSE),MID(BASE!E18,9,1),IF('Perpetual Pricing'!$J$2="Standard","S","G"),RIGHT(BASE!E18,7))</f>
        <v>XSPX00EUPS0100ZZC</v>
      </c>
      <c r="F18" s="85" t="str">
        <f>TEXT(ROUND(VLOOKUP('Perpetual Pricing'!$J$2,XE!$M$5:$N$6,2,FALSE)*BASE!F18*VLOOKUP('Perpetual Pricing'!$J$1,XE!$A:$F,6,FALSE)* (HLOOKUP($J$3,PARTNERPROGRAM!$D$7:$H$8,2,FALSE)),VLOOKUP('Perpetual Pricing'!$J$1,XE!$A:$H,8,FALSE)),VLOOKUP('Perpetual Pricing'!$J$1,XE!$A:$G,7,FALSE))</f>
        <v>272,5200</v>
      </c>
      <c r="G18" s="42" t="str">
        <f>CONCATENATE(LEFT(BASE!G18,6),VLOOKUP('Perpetual Pricing'!$J$1,XE!$A:$C,3,FALSE),MID(BASE!G18,9,1),IF('Perpetual Pricing'!$J$2="Standard","S","G"),RIGHT(BASE!G18,7))</f>
        <v>XSPX00EUUS0100ZZC</v>
      </c>
      <c r="H18" s="85" t="str">
        <f>TEXT(ROUND(VLOOKUP('Perpetual Pricing'!$J$2,XE!$M$5:$N$6,2,FALSE)*BASE!H18*VLOOKUP('Perpetual Pricing'!$J$1,XE!$A:$F,6,FALSE)* (HLOOKUP($J$3,PARTNERPROGRAM!$D$7:$H$8,2,FALSE)),VLOOKUP('Perpetual Pricing'!$J$1,XE!$A:$H,8,FALSE)),VLOOKUP('Perpetual Pricing'!$J$1,XE!$A:$G,7,FALSE))</f>
        <v>109,0100</v>
      </c>
      <c r="I18" s="42" t="str">
        <f>CONCATENATE(LEFT(BASE!I18,6),VLOOKUP('Perpetual Pricing'!$J$1,XE!$A:$C,3,FALSE),MID(BASE!I18,9,1),IF('Perpetual Pricing'!$J$2="Standard","S","G"),RIGHT(BASE!I18,7))</f>
        <v>XSPX00EUMS011YZZC</v>
      </c>
      <c r="J18" s="85" t="str">
        <f>TEXT(ROUND(VLOOKUP('Perpetual Pricing'!$J$2,XE!$M$5:$N$6,2,FALSE)*BASE!J18*VLOOKUP('Perpetual Pricing'!$J$1,XE!$A:$F,6,FALSE)* (HLOOKUP($J$3,PARTNERPROGRAM!$D$7:$H$8,2,FALSE)),VLOOKUP('Perpetual Pricing'!$J$1,XE!$A:$H,8,FALSE)),VLOOKUP('Perpetual Pricing'!$J$1,XE!$A:$G,7,FALSE))</f>
        <v>81,7600</v>
      </c>
      <c r="K18" s="42" t="str">
        <f>CONCATENATE(LEFT(BASE!K18,6),VLOOKUP('Perpetual Pricing'!$J$1,XE!$A:$C,3,FALSE),MID(BASE!K18,9,1),IF('Perpetual Pricing'!$J$2="Standard","S","G"),RIGHT(BASE!K18,7))</f>
        <v>XSPX00EUSS011YZZC</v>
      </c>
    </row>
    <row r="19" spans="1:11">
      <c r="A19" s="44" t="str">
        <f>HLOOKUP($U$1,Phrasing!A:A,4,FALSE)</f>
        <v>* For higher volume sales, please contact StorageCraft.</v>
      </c>
      <c r="B19" s="45"/>
      <c r="C19" s="45"/>
      <c r="D19" s="46"/>
      <c r="E19" s="47"/>
      <c r="F19" s="48"/>
      <c r="G19" s="48"/>
      <c r="H19" s="48"/>
      <c r="I19" s="48"/>
      <c r="J19" s="48"/>
      <c r="K19" s="48"/>
    </row>
    <row r="20" spans="1:11">
      <c r="A20" s="14"/>
      <c r="B20" s="15"/>
      <c r="C20" s="15"/>
      <c r="D20" s="2"/>
      <c r="E20" s="16"/>
      <c r="F20" s="3"/>
      <c r="G20" s="3"/>
      <c r="H20" s="3"/>
      <c r="I20" s="3"/>
      <c r="J20" s="3"/>
      <c r="K20" s="3"/>
    </row>
    <row r="21" spans="1:11" ht="20.25">
      <c r="A21" s="215" t="s">
        <v>525</v>
      </c>
      <c r="B21" s="17"/>
      <c r="C21" s="17"/>
      <c r="D21" s="12"/>
      <c r="E21" s="9"/>
      <c r="F21" s="1"/>
      <c r="G21" s="9"/>
      <c r="H21" s="1"/>
      <c r="I21" s="9"/>
      <c r="J21" s="1"/>
      <c r="K21" s="13"/>
    </row>
    <row r="22" spans="1:11" ht="15.75" customHeight="1">
      <c r="A22" s="253" t="str">
        <f>HLOOKUP($U$1,Phrasing!A:A,20,FALSE)</f>
        <v>First year of maintenance is included in the purchase price.  *Premium Support requires an active Maintenance Agreement.</v>
      </c>
      <c r="B22" s="253"/>
      <c r="C22" s="254"/>
      <c r="D22" s="259" t="str">
        <f>CONCATENATE(IF('Perpetual Pricing'!$J$2="Standard",HLOOKUP($U$1,Phrasing!A:A,48,FALSE),IF('Perpetual Pricing'!$J$2="Gov/Edu/NonProfit",HLOOKUP($U$1,Phrasing!A:A,49,FALSE),"???"))," - ",$J$3,, " - ",VLOOKUP($J$3,PARTNERPROGRAM!$U$5:$V$9,2,FALSE))</f>
        <v>Standard Pricing - Non Partner - SRP</v>
      </c>
      <c r="E22" s="259"/>
      <c r="F22" s="259"/>
      <c r="G22" s="259"/>
      <c r="H22" s="260"/>
      <c r="I22" s="260"/>
      <c r="J22" s="259"/>
      <c r="K22" s="259"/>
    </row>
    <row r="23" spans="1:11" ht="12.75" customHeight="1">
      <c r="A23" s="253"/>
      <c r="B23" s="253"/>
      <c r="C23" s="254"/>
      <c r="D23" s="235" t="str">
        <f>HLOOKUP($U$1,Phrasing!A:A,40,FALSE)</f>
        <v>New</v>
      </c>
      <c r="E23" s="236"/>
      <c r="F23" s="237" t="str">
        <f>HLOOKUP($U$1,Phrasing!A:A,158,FALSE)</f>
        <v>Upgrade</v>
      </c>
      <c r="G23" s="238"/>
      <c r="H23" s="230" t="str">
        <f>HLOOKUP($U$1,Phrasing!A:A,170,FALSE)</f>
        <v>1Yr Maintenance</v>
      </c>
      <c r="I23" s="231"/>
      <c r="J23" s="239" t="str">
        <f>HLOOKUP($U$1,Phrasing!A:A,45,FALSE)</f>
        <v>Premium Support</v>
      </c>
      <c r="K23" s="240"/>
    </row>
    <row r="24" spans="1:11">
      <c r="A24" s="255"/>
      <c r="B24" s="255"/>
      <c r="C24" s="256"/>
      <c r="D24" s="243" t="str">
        <f>HLOOKUP($U$1,Phrasing!A:A,23,FALSE)</f>
        <v>Includes one year of Maintenance</v>
      </c>
      <c r="E24" s="244"/>
      <c r="F24" s="245" t="str">
        <f>HLOOKUP($U$1,Phrasing!A:A,23,FALSE)</f>
        <v>Includes one year of Maintenance</v>
      </c>
      <c r="G24" s="246"/>
      <c r="H24" s="228" t="str">
        <f>HLOOKUP($U$1,Phrasing!A:A,171,FALSE)</f>
        <v>Renewal</v>
      </c>
      <c r="I24" s="229"/>
      <c r="J24" s="241"/>
      <c r="K24" s="242"/>
    </row>
    <row r="25" spans="1:11" ht="25.5">
      <c r="A25" s="97" t="str">
        <f>HLOOKUP($U$1,Phrasing!A:A,50,FALSE)</f>
        <v>Quantity</v>
      </c>
      <c r="B25" s="97" t="str">
        <f>HLOOKUP($U$1,Phrasing!A:A,18,FALSE)</f>
        <v>Discount Level</v>
      </c>
      <c r="C25" s="97" t="str">
        <f>HLOOKUP($U$1,Phrasing!A:A,19,FALSE)</f>
        <v>Discount off  single user license</v>
      </c>
      <c r="D25" s="100" t="str">
        <f>CONCATENATE(HLOOKUP($U$1,Phrasing!A:A,46,FALSE),": ",VLOOKUP('Perpetual Pricing'!$J$1,XE!$A:$B,2,FALSE))</f>
        <v>Price: EUR</v>
      </c>
      <c r="E25" s="38" t="str">
        <f>HLOOKUP($U$1,Phrasing!A:A,43,FALSE)</f>
        <v>Part Number</v>
      </c>
      <c r="F25" s="100" t="str">
        <f>CONCATENATE(HLOOKUP($U$1,Phrasing!A:A,46,FALSE),": ",VLOOKUP('Perpetual Pricing'!$J$1,XE!$A:$B,2,FALSE))</f>
        <v>Price: EUR</v>
      </c>
      <c r="G25" s="38" t="str">
        <f>HLOOKUP($U$1,Phrasing!A:A,43,FALSE)</f>
        <v>Part Number</v>
      </c>
      <c r="H25" s="100" t="str">
        <f>CONCATENATE(HLOOKUP($U$1,Phrasing!A:A,46,FALSE),": ",VLOOKUP('Perpetual Pricing'!$J$1,XE!$A:$B,2,FALSE))</f>
        <v>Price: EUR</v>
      </c>
      <c r="I25" s="96" t="str">
        <f>HLOOKUP($U$1,Phrasing!A:A,43,FALSE)</f>
        <v>Part Number</v>
      </c>
      <c r="J25" s="100" t="str">
        <f>CONCATENATE(HLOOKUP($U$1,Phrasing!A:A,46,FALSE),": ",VLOOKUP('Perpetual Pricing'!$J$1,XE!$A:$B,2,FALSE))</f>
        <v>Price: EUR</v>
      </c>
      <c r="K25" s="38" t="str">
        <f>HLOOKUP($U$1,Phrasing!A:A,43,FALSE)</f>
        <v>Part Number</v>
      </c>
    </row>
    <row r="26" spans="1:11">
      <c r="A26" s="40" t="s">
        <v>14</v>
      </c>
      <c r="B26" s="98" t="s">
        <v>15</v>
      </c>
      <c r="C26" s="51">
        <v>0</v>
      </c>
      <c r="D26" s="85" t="str">
        <f>TEXT(ROUND(VLOOKUP('Perpetual Pricing'!$J$2,XE!$M$5:$N$6,2,FALSE)*BASE!D26*VLOOKUP('Perpetual Pricing'!$J$1,XE!$A:$F,6,FALSE)* (HLOOKUP($J$3,PARTNERPROGRAM!$D$7:$H$8,2,FALSE)),VLOOKUP('Perpetual Pricing'!$J$1,XE!$A:$H,8,FALSE)),VLOOKUP('Perpetual Pricing'!$J$1,XE!$A:$G,7,FALSE))</f>
        <v>874,8800</v>
      </c>
      <c r="E26" s="42" t="str">
        <f>CONCATENATE(LEFT(BASE!E26,6),VLOOKUP('Perpetual Pricing'!$J$1,XE!$A:$C,3,FALSE),MID(BASE!E26,9,1),IF('Perpetual Pricing'!$J$2="Standard","S","G"),RIGHT(BASE!E26,7))</f>
        <v>XSXW00EUPS0100ZZZ</v>
      </c>
      <c r="F26" s="85" t="str">
        <f>TEXT(ROUND(VLOOKUP('Perpetual Pricing'!$J$2,XE!$M$5:$N$6,2,FALSE)*BASE!F26*VLOOKUP('Perpetual Pricing'!$J$1,XE!$A:$F,6,FALSE)* (HLOOKUP($J$3,PARTNERPROGRAM!$D$7:$H$8,2,FALSE)),VLOOKUP('Perpetual Pricing'!$J$1,XE!$A:$H,8,FALSE)),VLOOKUP('Perpetual Pricing'!$J$1,XE!$A:$G,7,FALSE))</f>
        <v>437,4400</v>
      </c>
      <c r="G26" s="42" t="str">
        <f>CONCATENATE(LEFT(BASE!G26,6),VLOOKUP('Perpetual Pricing'!$J$1,XE!$A:$C,3,FALSE),MID(BASE!G26,9,1),IF('Perpetual Pricing'!$J$2="Standard","S","G"),RIGHT(BASE!G26,7))</f>
        <v>XSXW00EUUS0100ZZZ</v>
      </c>
      <c r="H26" s="85" t="str">
        <f>TEXT(ROUND(VLOOKUP('Perpetual Pricing'!$J$2,XE!$M$5:$N$6,2,FALSE)*BASE!H26*VLOOKUP('Perpetual Pricing'!$J$1,XE!$A:$F,6,FALSE)* (HLOOKUP($J$3,PARTNERPROGRAM!$D$7:$H$8,2,FALSE)),VLOOKUP('Perpetual Pricing'!$J$1,XE!$A:$H,8,FALSE)),VLOOKUP('Perpetual Pricing'!$J$1,XE!$A:$G,7,FALSE))</f>
        <v>174,9800</v>
      </c>
      <c r="I26" s="42" t="str">
        <f>CONCATENATE(LEFT(BASE!I26,6),VLOOKUP('Perpetual Pricing'!$J$1,XE!$A:$C,3,FALSE),MID(BASE!I26,9,1),IF('Perpetual Pricing'!$J$2="Standard","S","G"),RIGHT(BASE!I26,7))</f>
        <v>XSXW00EUMS011YZZZ</v>
      </c>
      <c r="J26" s="85" t="str">
        <f>TEXT(ROUND(VLOOKUP('Perpetual Pricing'!$J$2,XE!$M$5:$N$6,2,FALSE)*BASE!J26*VLOOKUP('Perpetual Pricing'!$J$1,XE!$A:$F,6,FALSE)* (HLOOKUP($J$3,PARTNERPROGRAM!$D$7:$H$8,2,FALSE)),VLOOKUP('Perpetual Pricing'!$J$1,XE!$A:$H,8,FALSE)),VLOOKUP('Perpetual Pricing'!$J$1,XE!$A:$G,7,FALSE))</f>
        <v>131,2300</v>
      </c>
      <c r="K26" s="42" t="str">
        <f>CONCATENATE(LEFT(BASE!K26,6),VLOOKUP('Perpetual Pricing'!$J$1,XE!$A:$C,3,FALSE),MID(BASE!K26,9,1),IF('Perpetual Pricing'!$J$2="Standard","S","G"),RIGHT(BASE!K26,7))</f>
        <v>XSXW00EUSS011YZZZ</v>
      </c>
    </row>
    <row r="27" spans="1:11">
      <c r="A27" s="40" t="s">
        <v>20</v>
      </c>
      <c r="B27" s="98" t="s">
        <v>21</v>
      </c>
      <c r="C27" s="52">
        <f>BASE!$M$2</f>
        <v>0.09</v>
      </c>
      <c r="D27" s="85" t="str">
        <f>TEXT(ROUND(VLOOKUP('Perpetual Pricing'!$J$2,XE!$M$5:$N$6,2,FALSE)*BASE!D27*VLOOKUP('Perpetual Pricing'!$J$1,XE!$A:$F,6,FALSE)* (HLOOKUP($J$3,PARTNERPROGRAM!$D$7:$H$8,2,FALSE)),VLOOKUP('Perpetual Pricing'!$J$1,XE!$A:$H,8,FALSE)),VLOOKUP('Perpetual Pricing'!$J$1,XE!$A:$G,7,FALSE))</f>
        <v>796,1400</v>
      </c>
      <c r="E27" s="42" t="str">
        <f>CONCATENATE(LEFT(BASE!E27,6),VLOOKUP('Perpetual Pricing'!$J$1,XE!$A:$C,3,FALSE),MID(BASE!E27,9,1),IF('Perpetual Pricing'!$J$2="Standard","S","G"),RIGHT(BASE!E27,7))</f>
        <v>XSXW00EUPS0100ZZA</v>
      </c>
      <c r="F27" s="85" t="str">
        <f>TEXT(ROUND(VLOOKUP('Perpetual Pricing'!$J$2,XE!$M$5:$N$6,2,FALSE)*BASE!F27*VLOOKUP('Perpetual Pricing'!$J$1,XE!$A:$F,6,FALSE)* (HLOOKUP($J$3,PARTNERPROGRAM!$D$7:$H$8,2,FALSE)),VLOOKUP('Perpetual Pricing'!$J$1,XE!$A:$H,8,FALSE)),VLOOKUP('Perpetual Pricing'!$J$1,XE!$A:$G,7,FALSE))</f>
        <v>398,0700</v>
      </c>
      <c r="G27" s="42" t="str">
        <f>CONCATENATE(LEFT(BASE!G27,6),VLOOKUP('Perpetual Pricing'!$J$1,XE!$A:$C,3,FALSE),MID(BASE!G27,9,1),IF('Perpetual Pricing'!$J$2="Standard","S","G"),RIGHT(BASE!G27,7))</f>
        <v>XSXW00EUUS0100ZZA</v>
      </c>
      <c r="H27" s="85" t="str">
        <f>TEXT(ROUND(VLOOKUP('Perpetual Pricing'!$J$2,XE!$M$5:$N$6,2,FALSE)*BASE!H27*VLOOKUP('Perpetual Pricing'!$J$1,XE!$A:$F,6,FALSE)* (HLOOKUP($J$3,PARTNERPROGRAM!$D$7:$H$8,2,FALSE)),VLOOKUP('Perpetual Pricing'!$J$1,XE!$A:$H,8,FALSE)),VLOOKUP('Perpetual Pricing'!$J$1,XE!$A:$G,7,FALSE))</f>
        <v>159,2300</v>
      </c>
      <c r="I27" s="42" t="str">
        <f>CONCATENATE(LEFT(BASE!I27,6),VLOOKUP('Perpetual Pricing'!$J$1,XE!$A:$C,3,FALSE),MID(BASE!I27,9,1),IF('Perpetual Pricing'!$J$2="Standard","S","G"),RIGHT(BASE!I27,7))</f>
        <v>XSXW00EUMS011YZZA</v>
      </c>
      <c r="J27" s="85" t="str">
        <f>TEXT(ROUND(VLOOKUP('Perpetual Pricing'!$J$2,XE!$M$5:$N$6,2,FALSE)*BASE!J27*VLOOKUP('Perpetual Pricing'!$J$1,XE!$A:$F,6,FALSE)* (HLOOKUP($J$3,PARTNERPROGRAM!$D$7:$H$8,2,FALSE)),VLOOKUP('Perpetual Pricing'!$J$1,XE!$A:$H,8,FALSE)),VLOOKUP('Perpetual Pricing'!$J$1,XE!$A:$G,7,FALSE))</f>
        <v>119,4200</v>
      </c>
      <c r="K27" s="42" t="str">
        <f>CONCATENATE(LEFT(BASE!K27,6),VLOOKUP('Perpetual Pricing'!$J$1,XE!$A:$C,3,FALSE),MID(BASE!K27,9,1),IF('Perpetual Pricing'!$J$2="Standard","S","G"),RIGHT(BASE!K27,7))</f>
        <v>XSXW00EUSS011YZZA</v>
      </c>
    </row>
    <row r="28" spans="1:11">
      <c r="A28" s="40" t="s">
        <v>26</v>
      </c>
      <c r="B28" s="98" t="s">
        <v>27</v>
      </c>
      <c r="C28" s="52">
        <f>BASE!$M$3</f>
        <v>0.23300000000000001</v>
      </c>
      <c r="D28" s="85" t="str">
        <f>TEXT(ROUND(VLOOKUP('Perpetual Pricing'!$J$2,XE!$M$5:$N$6,2,FALSE)*BASE!D28*VLOOKUP('Perpetual Pricing'!$J$1,XE!$A:$F,6,FALSE)* (HLOOKUP($J$3,PARTNERPROGRAM!$D$7:$H$8,2,FALSE)),VLOOKUP('Perpetual Pricing'!$J$1,XE!$A:$H,8,FALSE)),VLOOKUP('Perpetual Pricing'!$J$1,XE!$A:$G,7,FALSE))</f>
        <v>671,0300</v>
      </c>
      <c r="E28" s="42" t="str">
        <f>CONCATENATE(LEFT(BASE!E28,6),VLOOKUP('Perpetual Pricing'!$J$1,XE!$A:$C,3,FALSE),MID(BASE!E28,9,1),IF('Perpetual Pricing'!$J$2="Standard","S","G"),RIGHT(BASE!E28,7))</f>
        <v>XSXW00EUPS0100ZZB</v>
      </c>
      <c r="F28" s="85" t="str">
        <f>TEXT(ROUND(VLOOKUP('Perpetual Pricing'!$J$2,XE!$M$5:$N$6,2,FALSE)*BASE!F28*VLOOKUP('Perpetual Pricing'!$J$1,XE!$A:$F,6,FALSE)* (HLOOKUP($J$3,PARTNERPROGRAM!$D$7:$H$8,2,FALSE)),VLOOKUP('Perpetual Pricing'!$J$1,XE!$A:$H,8,FALSE)),VLOOKUP('Perpetual Pricing'!$J$1,XE!$A:$G,7,FALSE))</f>
        <v>335,5100</v>
      </c>
      <c r="G28" s="42" t="str">
        <f>CONCATENATE(LEFT(BASE!G28,6),VLOOKUP('Perpetual Pricing'!$J$1,XE!$A:$C,3,FALSE),MID(BASE!G28,9,1),IF('Perpetual Pricing'!$J$2="Standard","S","G"),RIGHT(BASE!G28,7))</f>
        <v>XSXW00EUUS0100ZZB</v>
      </c>
      <c r="H28" s="85" t="str">
        <f>TEXT(ROUND(VLOOKUP('Perpetual Pricing'!$J$2,XE!$M$5:$N$6,2,FALSE)*BASE!H28*VLOOKUP('Perpetual Pricing'!$J$1,XE!$A:$F,6,FALSE)* (HLOOKUP($J$3,PARTNERPROGRAM!$D$7:$H$8,2,FALSE)),VLOOKUP('Perpetual Pricing'!$J$1,XE!$A:$H,8,FALSE)),VLOOKUP('Perpetual Pricing'!$J$1,XE!$A:$G,7,FALSE))</f>
        <v>134,200</v>
      </c>
      <c r="I28" s="42" t="str">
        <f>CONCATENATE(LEFT(BASE!I28,6),VLOOKUP('Perpetual Pricing'!$J$1,XE!$A:$C,3,FALSE),MID(BASE!I28,9,1),IF('Perpetual Pricing'!$J$2="Standard","S","G"),RIGHT(BASE!I28,7))</f>
        <v>XSXW00EUMS011YZZB</v>
      </c>
      <c r="J28" s="85" t="str">
        <f>TEXT(ROUND(VLOOKUP('Perpetual Pricing'!$J$2,XE!$M$5:$N$6,2,FALSE)*BASE!J28*VLOOKUP('Perpetual Pricing'!$J$1,XE!$A:$F,6,FALSE)* (HLOOKUP($J$3,PARTNERPROGRAM!$D$7:$H$8,2,FALSE)),VLOOKUP('Perpetual Pricing'!$J$1,XE!$A:$H,8,FALSE)),VLOOKUP('Perpetual Pricing'!$J$1,XE!$A:$G,7,FALSE))</f>
        <v>100,6600</v>
      </c>
      <c r="K28" s="42" t="str">
        <f>CONCATENATE(LEFT(BASE!K28,6),VLOOKUP('Perpetual Pricing'!$J$1,XE!$A:$C,3,FALSE),MID(BASE!K28,9,1),IF('Perpetual Pricing'!$J$2="Standard","S","G"),RIGHT(BASE!K28,7))</f>
        <v>XSXW00EUSS011YZZB</v>
      </c>
    </row>
    <row r="29" spans="1:11">
      <c r="A29" s="43" t="s">
        <v>32</v>
      </c>
      <c r="B29" s="98" t="s">
        <v>33</v>
      </c>
      <c r="C29" s="52">
        <f>BASE!$M$4</f>
        <v>0.377</v>
      </c>
      <c r="D29" s="85" t="str">
        <f>TEXT(ROUND(VLOOKUP('Perpetual Pricing'!$J$2,XE!$M$5:$N$6,2,FALSE)*BASE!D29*VLOOKUP('Perpetual Pricing'!$J$1,XE!$A:$F,6,FALSE)* (HLOOKUP($J$3,PARTNERPROGRAM!$D$7:$H$8,2,FALSE)),VLOOKUP('Perpetual Pricing'!$J$1,XE!$A:$H,8,FALSE)),VLOOKUP('Perpetual Pricing'!$J$1,XE!$A:$G,7,FALSE))</f>
        <v>545,0500</v>
      </c>
      <c r="E29" s="42" t="str">
        <f>CONCATENATE(LEFT(BASE!E29,6),VLOOKUP('Perpetual Pricing'!$J$1,XE!$A:$C,3,FALSE),MID(BASE!E29,9,1),IF('Perpetual Pricing'!$J$2="Standard","S","G"),RIGHT(BASE!E29,7))</f>
        <v>XSXW00EUPS0100ZZC</v>
      </c>
      <c r="F29" s="85" t="str">
        <f>TEXT(ROUND(VLOOKUP('Perpetual Pricing'!$J$2,XE!$M$5:$N$6,2,FALSE)*BASE!F29*VLOOKUP('Perpetual Pricing'!$J$1,XE!$A:$F,6,FALSE)* (HLOOKUP($J$3,PARTNERPROGRAM!$D$7:$H$8,2,FALSE)),VLOOKUP('Perpetual Pricing'!$J$1,XE!$A:$H,8,FALSE)),VLOOKUP('Perpetual Pricing'!$J$1,XE!$A:$G,7,FALSE))</f>
        <v>272,5200</v>
      </c>
      <c r="G29" s="42" t="str">
        <f>CONCATENATE(LEFT(BASE!G29,6),VLOOKUP('Perpetual Pricing'!$J$1,XE!$A:$C,3,FALSE),MID(BASE!G29,9,1),IF('Perpetual Pricing'!$J$2="Standard","S","G"),RIGHT(BASE!G29,7))</f>
        <v>XSXW00EUUS0100ZZC</v>
      </c>
      <c r="H29" s="85" t="str">
        <f>TEXT(ROUND(VLOOKUP('Perpetual Pricing'!$J$2,XE!$M$5:$N$6,2,FALSE)*BASE!H29*VLOOKUP('Perpetual Pricing'!$J$1,XE!$A:$F,6,FALSE)* (HLOOKUP($J$3,PARTNERPROGRAM!$D$7:$H$8,2,FALSE)),VLOOKUP('Perpetual Pricing'!$J$1,XE!$A:$H,8,FALSE)),VLOOKUP('Perpetual Pricing'!$J$1,XE!$A:$G,7,FALSE))</f>
        <v>109,0100</v>
      </c>
      <c r="I29" s="42" t="str">
        <f>CONCATENATE(LEFT(BASE!I29,6),VLOOKUP('Perpetual Pricing'!$J$1,XE!$A:$C,3,FALSE),MID(BASE!I29,9,1),IF('Perpetual Pricing'!$J$2="Standard","S","G"),RIGHT(BASE!I29,7))</f>
        <v>XSXW00EUMS011YZZC</v>
      </c>
      <c r="J29" s="85" t="str">
        <f>TEXT(ROUND(VLOOKUP('Perpetual Pricing'!$J$2,XE!$M$5:$N$6,2,FALSE)*BASE!J29*VLOOKUP('Perpetual Pricing'!$J$1,XE!$A:$F,6,FALSE)* (HLOOKUP($J$3,PARTNERPROGRAM!$D$7:$H$8,2,FALSE)),VLOOKUP('Perpetual Pricing'!$J$1,XE!$A:$H,8,FALSE)),VLOOKUP('Perpetual Pricing'!$J$1,XE!$A:$G,7,FALSE))</f>
        <v>81,7600</v>
      </c>
      <c r="K29" s="42" t="str">
        <f>CONCATENATE(LEFT(BASE!K29,6),VLOOKUP('Perpetual Pricing'!$J$1,XE!$A:$C,3,FALSE),MID(BASE!K29,9,1),IF('Perpetual Pricing'!$J$2="Standard","S","G"),RIGHT(BASE!K29,7))</f>
        <v>XSXW00EUSS011YZZC</v>
      </c>
    </row>
    <row r="30" spans="1:11">
      <c r="A30" s="44" t="str">
        <f>HLOOKUP($U$1,Phrasing!A:A,4,FALSE)</f>
        <v>* For higher volume sales, please contact StorageCraft.</v>
      </c>
      <c r="B30" s="45"/>
      <c r="C30" s="45"/>
      <c r="D30" s="46"/>
      <c r="E30" s="47"/>
      <c r="F30" s="48"/>
      <c r="G30" s="48"/>
      <c r="H30" s="48"/>
      <c r="I30" s="48"/>
      <c r="J30" s="48"/>
      <c r="K30" s="48"/>
    </row>
    <row r="31" spans="1:11">
      <c r="A31" s="44"/>
      <c r="B31" s="45"/>
      <c r="C31" s="45"/>
      <c r="D31" s="46"/>
      <c r="E31" s="47"/>
      <c r="F31" s="48"/>
      <c r="G31" s="48"/>
      <c r="H31" s="48"/>
      <c r="I31" s="48"/>
      <c r="J31" s="48"/>
      <c r="K31" s="48"/>
    </row>
    <row r="32" spans="1:11" ht="20.25">
      <c r="A32" s="215" t="s">
        <v>92</v>
      </c>
      <c r="B32" s="19"/>
      <c r="C32" s="19"/>
      <c r="D32" s="1"/>
      <c r="E32" s="9"/>
      <c r="F32" s="1"/>
      <c r="G32" s="9"/>
      <c r="H32" s="1"/>
      <c r="I32" s="9"/>
      <c r="J32" s="1"/>
      <c r="K32" s="9"/>
    </row>
    <row r="33" spans="1:11" ht="20.25">
      <c r="A33" s="215" t="s">
        <v>79</v>
      </c>
      <c r="B33" s="18"/>
      <c r="C33" s="18"/>
      <c r="D33" s="1"/>
      <c r="E33" s="9"/>
      <c r="F33" s="1"/>
      <c r="G33" s="9"/>
      <c r="H33" s="1"/>
      <c r="I33" s="9"/>
      <c r="J33" s="1"/>
      <c r="K33" s="13"/>
    </row>
    <row r="34" spans="1:11" ht="15.75" customHeight="1">
      <c r="A34" s="253" t="str">
        <f>HLOOKUP($U$1,Phrasing!A:A,20,FALSE)</f>
        <v>First year of maintenance is included in the purchase price.  *Premium Support requires an active Maintenance Agreement.</v>
      </c>
      <c r="B34" s="253"/>
      <c r="C34" s="254"/>
      <c r="D34" s="232" t="str">
        <f>HLOOKUP($U$1,Phrasing!A:A,16,FALSE)</f>
        <v>Competitive Upgrade Price - SRP</v>
      </c>
      <c r="E34" s="233"/>
      <c r="F34" s="233"/>
      <c r="G34" s="233"/>
      <c r="H34" s="233"/>
      <c r="I34" s="233"/>
      <c r="J34" s="233"/>
      <c r="K34" s="234"/>
    </row>
    <row r="35" spans="1:11" ht="12.75" customHeight="1">
      <c r="A35" s="253"/>
      <c r="B35" s="253"/>
      <c r="C35" s="254"/>
      <c r="D35" s="235" t="str">
        <f>HLOOKUP($U$1,Phrasing!A:A,40,FALSE)</f>
        <v>New</v>
      </c>
      <c r="E35" s="236"/>
      <c r="F35" s="237" t="str">
        <f>HLOOKUP($U$1,Phrasing!A:A,158,FALSE)</f>
        <v>Upgrade</v>
      </c>
      <c r="G35" s="238"/>
      <c r="H35" s="230" t="str">
        <f>HLOOKUP($U$1,Phrasing!A:A,170,FALSE)</f>
        <v>1Yr Maintenance</v>
      </c>
      <c r="I35" s="231"/>
      <c r="J35" s="239" t="str">
        <f>HLOOKUP($U$1,Phrasing!A:A,45,FALSE)</f>
        <v>Premium Support</v>
      </c>
      <c r="K35" s="240"/>
    </row>
    <row r="36" spans="1:11">
      <c r="A36" s="255"/>
      <c r="B36" s="255"/>
      <c r="C36" s="256"/>
      <c r="D36" s="243" t="str">
        <f>HLOOKUP($U$1,Phrasing!A:A,23,FALSE)</f>
        <v>Includes one year of Maintenance</v>
      </c>
      <c r="E36" s="244"/>
      <c r="F36" s="245" t="str">
        <f>HLOOKUP($U$1,Phrasing!A:A,23,FALSE)</f>
        <v>Includes one year of Maintenance</v>
      </c>
      <c r="G36" s="246"/>
      <c r="H36" s="228" t="str">
        <f>HLOOKUP($U$1,Phrasing!A:A,171,FALSE)</f>
        <v>Renewal</v>
      </c>
      <c r="I36" s="229"/>
      <c r="J36" s="241"/>
      <c r="K36" s="242"/>
    </row>
    <row r="37" spans="1:11">
      <c r="A37" s="97" t="str">
        <f>HLOOKUP($U$1,Phrasing!A:A,50,FALSE)</f>
        <v>Quantity</v>
      </c>
      <c r="B37" s="251" t="str">
        <f>HLOOKUP($U$1,Phrasing!A:A,18,FALSE)</f>
        <v>Discount Level</v>
      </c>
      <c r="C37" s="252"/>
      <c r="D37" s="100" t="str">
        <f>CONCATENATE(HLOOKUP($U$1,Phrasing!A:A,46,FALSE),": ",VLOOKUP('Perpetual Pricing'!$J$1,XE!$A:$B,2,FALSE))</f>
        <v>Price: EUR</v>
      </c>
      <c r="E37" s="38" t="str">
        <f>HLOOKUP($U$1,Phrasing!A:A,43,FALSE)</f>
        <v>Part Number</v>
      </c>
      <c r="F37" s="53" t="s">
        <v>12</v>
      </c>
      <c r="G37" s="38" t="str">
        <f>HLOOKUP($U$1,Phrasing!A:A,43,FALSE)</f>
        <v>Part Number</v>
      </c>
      <c r="H37" s="53" t="s">
        <v>12</v>
      </c>
      <c r="I37" s="96" t="str">
        <f>HLOOKUP($U$1,Phrasing!A:A,43,FALSE)</f>
        <v>Part Number</v>
      </c>
      <c r="J37" s="53" t="s">
        <v>12</v>
      </c>
      <c r="K37" s="55" t="str">
        <f>HLOOKUP($U$1,Phrasing!A:A,43,FALSE)</f>
        <v>Part Number</v>
      </c>
    </row>
    <row r="38" spans="1:11">
      <c r="A38" s="98" t="s">
        <v>14</v>
      </c>
      <c r="B38" s="249" t="s">
        <v>15</v>
      </c>
      <c r="C38" s="250"/>
      <c r="D38" s="85" t="str">
        <f>TEXT(ROUND(BASE!D15*VLOOKUP('Perpetual Pricing'!$J$1,XE!$A:$F,6,FALSE)*VLOOKUP('Perpetual Pricing'!$J$1,XE!$A:$L,12,FALSE)*(HLOOKUP($J$3,PARTNERPROGRAM!$D$7:$H$9,3,FALSE)),VLOOKUP('Perpetual Pricing'!$J$1,XE!$A:$H,8,FALSE)),VLOOKUP('Perpetual Pricing'!J$1,XE!$A:$G,7,FALSE))</f>
        <v>568,6700</v>
      </c>
      <c r="E38" s="42" t="str">
        <f>CONCATENATE(LEFT(BASE!E38,6),VLOOKUP('Perpetual Pricing'!$J$1,XE!$A:$C,3,FALSE),RIGHT(BASE!E38,9))</f>
        <v>XSPX00EUPC0100ZZZ</v>
      </c>
      <c r="F38" s="261" t="s">
        <v>84</v>
      </c>
      <c r="G38" s="261"/>
      <c r="H38" s="262" t="s">
        <v>85</v>
      </c>
      <c r="I38" s="263"/>
      <c r="J38" s="262" t="s">
        <v>86</v>
      </c>
      <c r="K38" s="263"/>
    </row>
    <row r="39" spans="1:11">
      <c r="A39" s="43" t="s">
        <v>20</v>
      </c>
      <c r="B39" s="249" t="s">
        <v>21</v>
      </c>
      <c r="C39" s="250"/>
      <c r="D39" s="85" t="str">
        <f>TEXT(ROUND(BASE!D16*VLOOKUP('Perpetual Pricing'!$J$1,XE!$A:$F,6,FALSE)*VLOOKUP('Perpetual Pricing'!$J$1,XE!$A:$L,12,FALSE)*(HLOOKUP($J$3,PARTNERPROGRAM!$D$7:$H$9,3,FALSE)),VLOOKUP('Perpetual Pricing'!$J$1,XE!$A:$H,8,FALSE)),VLOOKUP('Perpetual Pricing'!J$1,XE!$A:$G,7,FALSE))</f>
        <v>517,4900</v>
      </c>
      <c r="E39" s="42" t="str">
        <f>CONCATENATE(LEFT(BASE!E39,6),VLOOKUP('Perpetual Pricing'!$J$1,XE!$A:$C,3,FALSE),RIGHT(BASE!E39,9))</f>
        <v>XSPX00EUPC0100ZZA</v>
      </c>
      <c r="F39" s="261"/>
      <c r="G39" s="261"/>
      <c r="H39" s="263"/>
      <c r="I39" s="263"/>
      <c r="J39" s="263"/>
      <c r="K39" s="263"/>
    </row>
    <row r="40" spans="1:11">
      <c r="A40" s="43" t="s">
        <v>26</v>
      </c>
      <c r="B40" s="249" t="s">
        <v>27</v>
      </c>
      <c r="C40" s="250"/>
      <c r="D40" s="85" t="str">
        <f>TEXT(ROUND(BASE!D17*VLOOKUP('Perpetual Pricing'!$J$1,XE!$A:$F,6,FALSE)*VLOOKUP('Perpetual Pricing'!$J$1,XE!$A:$L,12,FALSE)*(HLOOKUP($J$3,PARTNERPROGRAM!$D$7:$H$9,3,FALSE)),VLOOKUP('Perpetual Pricing'!$J$1,XE!$A:$H,8,FALSE)),VLOOKUP('Perpetual Pricing'!J$1,XE!$A:$G,7,FALSE))</f>
        <v>436,1700</v>
      </c>
      <c r="E40" s="42" t="str">
        <f>CONCATENATE(LEFT(BASE!E40,6),VLOOKUP('Perpetual Pricing'!$J$1,XE!$A:$C,3,FALSE),RIGHT(BASE!E40,9))</f>
        <v>XSPX00EUPC0100ZZB</v>
      </c>
      <c r="F40" s="261"/>
      <c r="G40" s="261"/>
      <c r="H40" s="263"/>
      <c r="I40" s="263"/>
      <c r="J40" s="263"/>
      <c r="K40" s="263"/>
    </row>
    <row r="41" spans="1:11">
      <c r="A41" s="43" t="s">
        <v>32</v>
      </c>
      <c r="B41" s="249" t="s">
        <v>33</v>
      </c>
      <c r="C41" s="250"/>
      <c r="D41" s="85" t="str">
        <f>TEXT(ROUND(BASE!D18*VLOOKUP('Perpetual Pricing'!$J$1,XE!$A:$F,6,FALSE)*VLOOKUP('Perpetual Pricing'!$J$1,XE!$A:$L,12,FALSE)*(HLOOKUP($J$3,PARTNERPROGRAM!$D$7:$H$9,3,FALSE)),VLOOKUP('Perpetual Pricing'!$J$1,XE!$A:$H,8,FALSE)),VLOOKUP('Perpetual Pricing'!J$1,XE!$A:$G,7,FALSE))</f>
        <v>354,2800</v>
      </c>
      <c r="E41" s="42" t="str">
        <f>CONCATENATE(LEFT(BASE!E41,6),VLOOKUP('Perpetual Pricing'!$J$1,XE!$A:$C,3,FALSE),RIGHT(BASE!E41,9))</f>
        <v>XSPX00EUPC0100ZZC</v>
      </c>
      <c r="F41" s="261"/>
      <c r="G41" s="261"/>
      <c r="H41" s="263"/>
      <c r="I41" s="263"/>
      <c r="J41" s="263"/>
      <c r="K41" s="263"/>
    </row>
    <row r="42" spans="1:11">
      <c r="A42" s="44" t="str">
        <f>HLOOKUP($U$1,Phrasing!A:A,4,FALSE)</f>
        <v>* For higher volume sales, please contact StorageCraft.</v>
      </c>
      <c r="B42" s="57"/>
      <c r="C42" s="58"/>
      <c r="D42" s="87"/>
      <c r="E42" s="88"/>
      <c r="F42" s="61"/>
      <c r="G42" s="61"/>
      <c r="H42" s="62"/>
      <c r="I42" s="62"/>
      <c r="J42" s="62"/>
      <c r="K42" s="62"/>
    </row>
    <row r="43" spans="1:11">
      <c r="A43" s="44" t="s">
        <v>90</v>
      </c>
      <c r="B43" s="57"/>
      <c r="C43" s="58"/>
      <c r="D43" s="59"/>
      <c r="E43" s="60"/>
      <c r="F43" s="61"/>
      <c r="G43" s="61"/>
      <c r="H43" s="62"/>
      <c r="I43" s="62"/>
      <c r="J43" s="62"/>
      <c r="K43" s="62"/>
    </row>
    <row r="44" spans="1:11">
      <c r="A44" s="44" t="str">
        <f>IF(OR('Perpetual Pricing'!$J$1="US-USD", 'Perpetual Pricing'!$J$1="Canada-CAD",'Perpetual Pricing'!$J$1="Canada-French-CAD"),"","")</f>
        <v/>
      </c>
      <c r="B44" s="49"/>
      <c r="C44" s="50"/>
      <c r="D44" s="35"/>
      <c r="E44" s="36"/>
      <c r="F44" s="35"/>
      <c r="G44" s="36"/>
      <c r="H44" s="35"/>
      <c r="I44" s="36"/>
      <c r="J44" s="35"/>
      <c r="K44" s="36"/>
    </row>
    <row r="45" spans="1:11">
      <c r="A45" s="14"/>
      <c r="B45" s="7"/>
      <c r="C45" s="8"/>
      <c r="D45" s="1"/>
      <c r="E45" s="9"/>
      <c r="F45" s="1"/>
      <c r="G45" s="9"/>
      <c r="H45" s="1"/>
      <c r="I45" s="9"/>
      <c r="J45" s="1"/>
      <c r="K45" s="9"/>
    </row>
    <row r="46" spans="1:11" ht="20.25">
      <c r="A46" s="215" t="s">
        <v>97</v>
      </c>
      <c r="B46" s="19"/>
      <c r="C46" s="19"/>
      <c r="D46" s="4"/>
      <c r="E46" s="20"/>
      <c r="F46" s="4"/>
      <c r="G46" s="9"/>
      <c r="H46" s="1"/>
      <c r="I46" s="9"/>
      <c r="J46" s="1"/>
      <c r="K46" s="9"/>
    </row>
    <row r="47" spans="1:11" ht="20.25">
      <c r="A47" s="215" t="s">
        <v>79</v>
      </c>
      <c r="B47" s="18"/>
      <c r="C47" s="18"/>
      <c r="D47" s="1"/>
      <c r="E47" s="9"/>
      <c r="F47" s="1"/>
      <c r="G47" s="9"/>
      <c r="H47" s="1"/>
      <c r="I47" s="9"/>
      <c r="J47" s="1"/>
      <c r="K47" s="13"/>
    </row>
    <row r="48" spans="1:11" ht="15.75" customHeight="1">
      <c r="A48" s="253" t="str">
        <f>HLOOKUP($U$1,Phrasing!A:A,20,FALSE)</f>
        <v>First year of maintenance is included in the purchase price.  *Premium Support requires an active Maintenance Agreement.</v>
      </c>
      <c r="B48" s="253"/>
      <c r="C48" s="254"/>
      <c r="D48" s="232" t="str">
        <f>HLOOKUP($U$1,Phrasing!A:A,16,FALSE)</f>
        <v>Competitive Upgrade Price - SRP</v>
      </c>
      <c r="E48" s="233"/>
      <c r="F48" s="233"/>
      <c r="G48" s="233"/>
      <c r="H48" s="233"/>
      <c r="I48" s="233"/>
      <c r="J48" s="233"/>
      <c r="K48" s="234"/>
    </row>
    <row r="49" spans="1:11" ht="12.75" customHeight="1">
      <c r="A49" s="253"/>
      <c r="B49" s="253"/>
      <c r="C49" s="254"/>
      <c r="D49" s="235" t="str">
        <f>HLOOKUP($U$1,Phrasing!A:A,40,FALSE)</f>
        <v>New</v>
      </c>
      <c r="E49" s="236"/>
      <c r="F49" s="237" t="str">
        <f>HLOOKUP($U$1,Phrasing!A:A,158,FALSE)</f>
        <v>Upgrade</v>
      </c>
      <c r="G49" s="238"/>
      <c r="H49" s="230" t="str">
        <f>HLOOKUP($U$1,Phrasing!A:A,170,FALSE)</f>
        <v>1Yr Maintenance</v>
      </c>
      <c r="I49" s="231"/>
      <c r="J49" s="239" t="str">
        <f>HLOOKUP($U$1,Phrasing!A:A,45,FALSE)</f>
        <v>Premium Support</v>
      </c>
      <c r="K49" s="240"/>
    </row>
    <row r="50" spans="1:11">
      <c r="A50" s="255"/>
      <c r="B50" s="255"/>
      <c r="C50" s="256"/>
      <c r="D50" s="243" t="str">
        <f>HLOOKUP($U$1,Phrasing!A:A,23,FALSE)</f>
        <v>Includes one year of Maintenance</v>
      </c>
      <c r="E50" s="244"/>
      <c r="F50" s="245" t="str">
        <f>HLOOKUP($U$1,Phrasing!A:A,23,FALSE)</f>
        <v>Includes one year of Maintenance</v>
      </c>
      <c r="G50" s="246"/>
      <c r="H50" s="228" t="str">
        <f>HLOOKUP($U$1,Phrasing!A:A,171,FALSE)</f>
        <v>Renewal</v>
      </c>
      <c r="I50" s="229"/>
      <c r="J50" s="241"/>
      <c r="K50" s="242"/>
    </row>
    <row r="51" spans="1:11">
      <c r="A51" s="97" t="str">
        <f>HLOOKUP($U$1,Phrasing!A:A,50,FALSE)</f>
        <v>Quantity</v>
      </c>
      <c r="B51" s="251" t="str">
        <f>HLOOKUP($U$1,Phrasing!A:A,18,FALSE)</f>
        <v>Discount Level</v>
      </c>
      <c r="C51" s="252"/>
      <c r="D51" s="100" t="str">
        <f>CONCATENATE(HLOOKUP($U$1,Phrasing!A:A,46,FALSE),": ",VLOOKUP('Perpetual Pricing'!$J$1,XE!$A:$B,2,FALSE))</f>
        <v>Price: EUR</v>
      </c>
      <c r="E51" s="38" t="str">
        <f>HLOOKUP($U$1,Phrasing!A:A,43,FALSE)</f>
        <v>Part Number</v>
      </c>
      <c r="F51" s="53" t="s">
        <v>12</v>
      </c>
      <c r="G51" s="38" t="str">
        <f>HLOOKUP($U$1,Phrasing!A:A,43,FALSE)</f>
        <v>Part Number</v>
      </c>
      <c r="H51" s="53" t="s">
        <v>12</v>
      </c>
      <c r="I51" s="96" t="str">
        <f>HLOOKUP($U$1,Phrasing!A:A,43,FALSE)</f>
        <v>Part Number</v>
      </c>
      <c r="J51" s="53" t="s">
        <v>12</v>
      </c>
      <c r="K51" s="55" t="str">
        <f>HLOOKUP($U$1,Phrasing!A:A,43,FALSE)</f>
        <v>Part Number</v>
      </c>
    </row>
    <row r="52" spans="1:11">
      <c r="A52" s="98" t="s">
        <v>14</v>
      </c>
      <c r="B52" s="249" t="s">
        <v>15</v>
      </c>
      <c r="C52" s="250"/>
      <c r="D52" s="85" t="str">
        <f>D38</f>
        <v>568,6700</v>
      </c>
      <c r="E52" s="42" t="str">
        <f>CONCATENATE(LEFT(BASE!E52,6),VLOOKUP('Perpetual Pricing'!$J$1,XE!$A:$C,3,FALSE),RIGHT(BASE!E52,9))</f>
        <v>XSXW00EUPC0100ZZZ</v>
      </c>
      <c r="F52" s="261" t="s">
        <v>84</v>
      </c>
      <c r="G52" s="261"/>
      <c r="H52" s="262" t="s">
        <v>85</v>
      </c>
      <c r="I52" s="263"/>
      <c r="J52" s="262" t="s">
        <v>86</v>
      </c>
      <c r="K52" s="263"/>
    </row>
    <row r="53" spans="1:11">
      <c r="A53" s="43" t="s">
        <v>20</v>
      </c>
      <c r="B53" s="249" t="s">
        <v>21</v>
      </c>
      <c r="C53" s="250"/>
      <c r="D53" s="85" t="str">
        <f>D39</f>
        <v>517,4900</v>
      </c>
      <c r="E53" s="42" t="str">
        <f>CONCATENATE(LEFT(BASE!E53,6),VLOOKUP('Perpetual Pricing'!$J$1,XE!$A:$C,3,FALSE),RIGHT(BASE!E53,9))</f>
        <v>XSXW00EUPC0100ZZA</v>
      </c>
      <c r="F53" s="261"/>
      <c r="G53" s="261"/>
      <c r="H53" s="263"/>
      <c r="I53" s="263"/>
      <c r="J53" s="263"/>
      <c r="K53" s="263"/>
    </row>
    <row r="54" spans="1:11">
      <c r="A54" s="43" t="s">
        <v>26</v>
      </c>
      <c r="B54" s="249" t="s">
        <v>27</v>
      </c>
      <c r="C54" s="250"/>
      <c r="D54" s="85" t="str">
        <f>D40</f>
        <v>436,1700</v>
      </c>
      <c r="E54" s="42" t="str">
        <f>CONCATENATE(LEFT(BASE!E54,6),VLOOKUP('Perpetual Pricing'!$J$1,XE!$A:$C,3,FALSE),RIGHT(BASE!E54,9))</f>
        <v>XSXW00EUPC0100ZZB</v>
      </c>
      <c r="F54" s="261"/>
      <c r="G54" s="261"/>
      <c r="H54" s="263"/>
      <c r="I54" s="263"/>
      <c r="J54" s="263"/>
      <c r="K54" s="263"/>
    </row>
    <row r="55" spans="1:11">
      <c r="A55" s="43" t="s">
        <v>32</v>
      </c>
      <c r="B55" s="249" t="s">
        <v>33</v>
      </c>
      <c r="C55" s="250"/>
      <c r="D55" s="85" t="str">
        <f>D41</f>
        <v>354,2800</v>
      </c>
      <c r="E55" s="42" t="str">
        <f>CONCATENATE(LEFT(BASE!E55,6),VLOOKUP('Perpetual Pricing'!$J$1,XE!$A:$C,3,FALSE),RIGHT(BASE!E55,9))</f>
        <v>XSXW00EUPC0100ZZC</v>
      </c>
      <c r="F55" s="261"/>
      <c r="G55" s="261"/>
      <c r="H55" s="263"/>
      <c r="I55" s="263"/>
      <c r="J55" s="263"/>
      <c r="K55" s="263"/>
    </row>
    <row r="56" spans="1:11">
      <c r="A56" s="44" t="str">
        <f>HLOOKUP($U$1,Phrasing!A:A,4,FALSE)</f>
        <v>* For higher volume sales, please contact StorageCraft.</v>
      </c>
      <c r="B56" s="57"/>
      <c r="C56" s="58"/>
      <c r="D56" s="87"/>
      <c r="E56" s="88"/>
      <c r="F56" s="61"/>
      <c r="G56" s="61"/>
      <c r="H56" s="62"/>
      <c r="I56" s="62"/>
      <c r="J56" s="62"/>
      <c r="K56" s="62"/>
    </row>
    <row r="57" spans="1:11">
      <c r="A57" s="44" t="s">
        <v>90</v>
      </c>
      <c r="B57" s="57"/>
      <c r="C57" s="58"/>
      <c r="D57" s="59"/>
      <c r="E57" s="60"/>
      <c r="F57" s="61"/>
      <c r="G57" s="61"/>
      <c r="H57" s="62"/>
      <c r="I57" s="62"/>
      <c r="J57" s="62"/>
      <c r="K57" s="62"/>
    </row>
    <row r="58" spans="1:11">
      <c r="A58" s="44" t="str">
        <f>IF(OR('Perpetual Pricing'!$J$1="US-USD", 'Perpetual Pricing'!$J$1="Canada-CAD",'Perpetual Pricing'!$J$1="Canada-French-CAD"),"","")</f>
        <v/>
      </c>
      <c r="B58" s="49"/>
      <c r="C58" s="50"/>
      <c r="D58" s="35"/>
      <c r="E58" s="36"/>
      <c r="F58" s="35"/>
      <c r="G58" s="36"/>
      <c r="H58" s="35"/>
      <c r="I58" s="36"/>
      <c r="J58" s="35"/>
      <c r="K58" s="36"/>
    </row>
    <row r="59" spans="1:11">
      <c r="A59" s="44"/>
      <c r="B59" s="49"/>
      <c r="C59" s="50"/>
      <c r="D59" s="35"/>
      <c r="E59" s="36"/>
      <c r="F59" s="35"/>
      <c r="G59" s="36"/>
      <c r="H59" s="35"/>
      <c r="I59" s="36"/>
      <c r="J59" s="35"/>
      <c r="K59" s="36"/>
    </row>
    <row r="60" spans="1:11" ht="20.25">
      <c r="A60" s="217" t="s">
        <v>120</v>
      </c>
      <c r="B60" s="19"/>
      <c r="C60" s="19"/>
      <c r="D60" s="24"/>
      <c r="E60" s="20"/>
      <c r="F60" s="1"/>
      <c r="G60" s="9"/>
      <c r="H60" s="1"/>
      <c r="I60" s="9"/>
      <c r="J60" s="1"/>
      <c r="K60" s="13"/>
    </row>
    <row r="61" spans="1:11" ht="15.75" customHeight="1">
      <c r="A61" s="253" t="s">
        <v>2</v>
      </c>
      <c r="B61" s="253"/>
      <c r="C61" s="254"/>
      <c r="D61" s="259" t="str">
        <f>CONCATENATE(IF('Perpetual Pricing'!$J$2="Standard",HLOOKUP($U$1,Phrasing!A:A,48,FALSE),IF('Perpetual Pricing'!$J$2="Gov/Edu/NonProfit",HLOOKUP($U$1,Phrasing!A:A,49,FALSE),"???"))," - ",$J$3,, " - ",VLOOKUP($J$3,PARTNERPROGRAM!$U$5:$V$9,2,FALSE))</f>
        <v>Standard Pricing - Non Partner - SRP</v>
      </c>
      <c r="E61" s="259"/>
      <c r="F61" s="259"/>
      <c r="G61" s="259"/>
      <c r="H61" s="260"/>
      <c r="I61" s="260"/>
      <c r="J61" s="259"/>
      <c r="K61" s="259"/>
    </row>
    <row r="62" spans="1:11" ht="12.75" customHeight="1">
      <c r="A62" s="253"/>
      <c r="B62" s="253"/>
      <c r="C62" s="254"/>
      <c r="D62" s="235" t="str">
        <f>HLOOKUP($U$1,Phrasing!A:A,40,FALSE)</f>
        <v>New</v>
      </c>
      <c r="E62" s="236"/>
      <c r="F62" s="237" t="str">
        <f>HLOOKUP($U$1,Phrasing!A:A,158,FALSE)</f>
        <v>Upgrade</v>
      </c>
      <c r="G62" s="238"/>
      <c r="H62" s="230" t="str">
        <f>HLOOKUP($U$1,Phrasing!A:A,170,FALSE)</f>
        <v>1Yr Maintenance</v>
      </c>
      <c r="I62" s="231"/>
      <c r="J62" s="239" t="str">
        <f>HLOOKUP($U$1,Phrasing!A:A,45,FALSE)</f>
        <v>Premium Support</v>
      </c>
      <c r="K62" s="240"/>
    </row>
    <row r="63" spans="1:11">
      <c r="A63" s="253"/>
      <c r="B63" s="253"/>
      <c r="C63" s="254"/>
      <c r="D63" s="243" t="str">
        <f>HLOOKUP($U$1,Phrasing!A:A,23,FALSE)</f>
        <v>Includes one year of Maintenance</v>
      </c>
      <c r="E63" s="244"/>
      <c r="F63" s="245" t="str">
        <f>HLOOKUP($U$1,Phrasing!A:A,23,FALSE)</f>
        <v>Includes one year of Maintenance</v>
      </c>
      <c r="G63" s="246"/>
      <c r="H63" s="228" t="str">
        <f>HLOOKUP($U$1,Phrasing!A:A,171,FALSE)</f>
        <v>Renewal</v>
      </c>
      <c r="I63" s="229"/>
      <c r="J63" s="241"/>
      <c r="K63" s="242"/>
    </row>
    <row r="64" spans="1:11">
      <c r="A64" s="255"/>
      <c r="B64" s="255"/>
      <c r="C64" s="256"/>
      <c r="D64" s="100" t="str">
        <f>CONCATENATE(HLOOKUP($U$1,Phrasing!A:A,46,FALSE),": ",VLOOKUP('Perpetual Pricing'!$J$1,XE!$A:$B,2,FALSE))</f>
        <v>Price: EUR</v>
      </c>
      <c r="E64" s="38" t="str">
        <f>HLOOKUP($U$1,Phrasing!A:A,43,FALSE)</f>
        <v>Part Number</v>
      </c>
      <c r="F64" s="100" t="str">
        <f>CONCATENATE(HLOOKUP($U$1,Phrasing!A:A,46,FALSE),": ",VLOOKUP('Perpetual Pricing'!$J$1,XE!$A:$B,2,FALSE))</f>
        <v>Price: EUR</v>
      </c>
      <c r="G64" s="38" t="str">
        <f>HLOOKUP($U$1,Phrasing!A:A,43,FALSE)</f>
        <v>Part Number</v>
      </c>
      <c r="H64" s="100" t="str">
        <f>CONCATENATE(HLOOKUP($U$1,Phrasing!A:A,46,FALSE),": ",VLOOKUP('Perpetual Pricing'!$J$1,XE!$A:$B,2,FALSE))</f>
        <v>Price: EUR</v>
      </c>
      <c r="I64" s="96" t="str">
        <f>HLOOKUP($U$1,Phrasing!A:A,43,FALSE)</f>
        <v>Part Number</v>
      </c>
      <c r="J64" s="100" t="str">
        <f>CONCATENATE(HLOOKUP($U$1,Phrasing!A:A,46,FALSE),": ",VLOOKUP('Perpetual Pricing'!$J$1,XE!$A:$B,2,FALSE))</f>
        <v>Price: EUR</v>
      </c>
      <c r="K64" s="55" t="str">
        <f>HLOOKUP($U$1,Phrasing!A:A,43,FALSE)</f>
        <v>Part Number</v>
      </c>
    </row>
    <row r="65" spans="1:11">
      <c r="A65" s="264" t="s">
        <v>120</v>
      </c>
      <c r="B65" s="265"/>
      <c r="C65" s="266"/>
      <c r="D65" s="85" t="str">
        <f>TEXT(ROUND(VLOOKUP('Perpetual Pricing'!$J$2,XE!$M$5:$N$6,2,FALSE)*BASE!D65*VLOOKUP('Perpetual Pricing'!$J$1,XE!$A:$F,6,FALSE)* (HLOOKUP($J$3,PARTNERPROGRAM!$D$7:$H$8,2,FALSE)),VLOOKUP('Perpetual Pricing'!$J$1,XE!$A:$H,8,FALSE)),VLOOKUP('Perpetual Pricing'!$J$1,XE!$A:$G,7,FALSE))</f>
        <v>438,6400</v>
      </c>
      <c r="E65" s="42" t="str">
        <f>CONCATENATE(LEFT(BASE!E65,6),VLOOKUP('Perpetual Pricing'!$J$1,XE!$A:$C,3,FALSE),MID(BASE!E65,9,1),IF('Perpetual Pricing'!$J$2="Standard","S","G"),RIGHT(BASE!E65,7))</f>
        <v>QBUS00EUPS0100ZZZ</v>
      </c>
      <c r="F65" s="85" t="str">
        <f>TEXT(ROUND(VLOOKUP('Perpetual Pricing'!$J$2,XE!$M$5:$N$6,2,FALSE)*BASE!F65*VLOOKUP('Perpetual Pricing'!$J$1,XE!$A:$F,6,FALSE)* (HLOOKUP($J$3,PARTNERPROGRAM!$D$7:$H$8,2,FALSE)),VLOOKUP('Perpetual Pricing'!$J$1,XE!$A:$H,8,FALSE)),VLOOKUP('Perpetual Pricing'!$J$1,XE!$A:$G,7,FALSE))</f>
        <v>219,3200</v>
      </c>
      <c r="G65" s="42" t="str">
        <f>CONCATENATE(LEFT(BASE!G65,6),VLOOKUP('Perpetual Pricing'!$J$1,XE!$A:$C,3,FALSE),MID(BASE!G65,9,1),IF('Perpetual Pricing'!$J$2="Standard","S","G"),RIGHT(BASE!G65,7))</f>
        <v>QBUS00EUUS0100ZZZ</v>
      </c>
      <c r="H65" s="85" t="str">
        <f>TEXT(ROUND(VLOOKUP('Perpetual Pricing'!$J$2,XE!$M$5:$N$6,2,FALSE)*BASE!H65*VLOOKUP('Perpetual Pricing'!$J$1,XE!$A:$F,6,FALSE)* (HLOOKUP($J$3,PARTNERPROGRAM!$D$7:$H$8,2,FALSE)),VLOOKUP('Perpetual Pricing'!$J$1,XE!$A:$H,8,FALSE)),VLOOKUP('Perpetual Pricing'!$J$1,XE!$A:$G,7,FALSE))</f>
        <v>87,7300</v>
      </c>
      <c r="I65" s="42" t="str">
        <f>CONCATENATE(LEFT(BASE!I65,6),VLOOKUP('Perpetual Pricing'!$J$1,XE!$A:$C,3,FALSE),MID(BASE!I65,9,1),IF('Perpetual Pricing'!$J$2="Standard","S","G"),RIGHT(BASE!I65,7))</f>
        <v>QBUS00EUMS011YZZZ</v>
      </c>
      <c r="J65" s="85" t="str">
        <f>TEXT(ROUND(VLOOKUP('Perpetual Pricing'!$J$2,XE!$M$5:$N$6,2,FALSE)*BASE!J65*VLOOKUP('Perpetual Pricing'!$J$1,XE!$A:$F,6,FALSE)* (HLOOKUP($J$3,PARTNERPROGRAM!$D$7:$H$8,2,FALSE)),VLOOKUP('Perpetual Pricing'!$J$1,XE!$A:$H,8,FALSE)),VLOOKUP('Perpetual Pricing'!$J$1,XE!$A:$G,7,FALSE))</f>
        <v>65,800</v>
      </c>
      <c r="K65" s="42" t="str">
        <f>CONCATENATE(LEFT(BASE!K65,6),VLOOKUP('Perpetual Pricing'!$J$1,XE!$A:$C,3,FALSE),MID(BASE!K65,9,1),IF('Perpetual Pricing'!$J$2="Standard","S","G"),RIGHT(BASE!K65,7))</f>
        <v>QBUS00EUSS011YZZZ</v>
      </c>
    </row>
    <row r="66" spans="1:11">
      <c r="A66" s="264" t="s">
        <v>125</v>
      </c>
      <c r="B66" s="265"/>
      <c r="C66" s="266"/>
      <c r="D66" s="267" t="s">
        <v>40</v>
      </c>
      <c r="E66" s="267"/>
      <c r="F66" s="85" t="str">
        <f>TEXT(ROUND(VLOOKUP('Perpetual Pricing'!$J$2,XE!$M$5:$N$6,2,FALSE)*BASE!F66*VLOOKUP('Perpetual Pricing'!$J$1,XE!$A:$F,6,FALSE)* (HLOOKUP($J$3,PARTNERPROGRAM!$D$7:$H$8,2,FALSE)),VLOOKUP('Perpetual Pricing'!$J$1,XE!$A:$H,8,FALSE)),VLOOKUP('Perpetual Pricing'!$J$1,XE!$A:$G,7,FALSE))</f>
        <v>656,7600</v>
      </c>
      <c r="G66" s="42" t="str">
        <f>CONCATENATE(LEFT(BASE!G66,6),VLOOKUP('Perpetual Pricing'!$J$1,XE!$A:$C,3,FALSE),MID(BASE!G66,9,1),IF('Perpetual Pricing'!$J$2="Standard","S","G"),RIGHT(BASE!G66,7))</f>
        <v>QSXP00EUUS0200ZZZ</v>
      </c>
      <c r="H66" s="85" t="str">
        <f>TEXT(ROUND(VLOOKUP('Perpetual Pricing'!$J$2,XE!$M$5:$N$6,2,FALSE)*BASE!H66*VLOOKUP('Perpetual Pricing'!$J$1,XE!$A:$F,6,FALSE)* (HLOOKUP($J$3,PARTNERPROGRAM!$D$7:$H$8,2,FALSE)),VLOOKUP('Perpetual Pricing'!$J$1,XE!$A:$H,8,FALSE)),VLOOKUP('Perpetual Pricing'!$J$1,XE!$A:$G,7,FALSE))</f>
        <v>212,500</v>
      </c>
      <c r="I66" s="42" t="str">
        <f>CONCATENATE(LEFT(BASE!I66,6),VLOOKUP('Perpetual Pricing'!$J$1,XE!$A:$C,3,FALSE),MID(BASE!I66,9,1),IF('Perpetual Pricing'!$J$2="Standard","S","G"),RIGHT(BASE!I66,7))</f>
        <v>QSXP00EUMS021YZZZ</v>
      </c>
      <c r="J66" s="85" t="str">
        <f>TEXT(ROUND(VLOOKUP('Perpetual Pricing'!$J$2,XE!$M$5:$N$6,2,FALSE)*BASE!J66*VLOOKUP('Perpetual Pricing'!$J$1,XE!$A:$F,6,FALSE)* (HLOOKUP($J$3,PARTNERPROGRAM!$D$7:$H$8,2,FALSE)),VLOOKUP('Perpetual Pricing'!$J$1,XE!$A:$H,8,FALSE)),VLOOKUP('Perpetual Pricing'!$J$1,XE!$A:$G,7,FALSE))</f>
        <v>159,3700</v>
      </c>
      <c r="K66" s="42" t="str">
        <f>CONCATENATE(LEFT(BASE!K66,6),VLOOKUP('Perpetual Pricing'!$J$1,XE!$A:$C,3,FALSE),MID(BASE!K66,9,1),IF('Perpetual Pricing'!$J$2="Standard","S","G"),RIGHT(BASE!K66,7))</f>
        <v>QSXP00EUSS021YZZZ</v>
      </c>
    </row>
    <row r="67" spans="1:11">
      <c r="A67" s="63"/>
      <c r="B67" s="64"/>
      <c r="C67" s="64"/>
      <c r="D67" s="65"/>
      <c r="E67" s="66"/>
      <c r="F67" s="59"/>
      <c r="G67" s="66"/>
      <c r="H67" s="65"/>
      <c r="I67" s="66"/>
      <c r="J67" s="65"/>
      <c r="K67" s="66"/>
    </row>
    <row r="68" spans="1:11" ht="20.25">
      <c r="A68" s="215" t="s">
        <v>119</v>
      </c>
      <c r="B68" s="20"/>
      <c r="C68" s="25"/>
      <c r="D68" s="4"/>
      <c r="E68" s="9"/>
      <c r="F68" s="1"/>
      <c r="G68" s="9"/>
      <c r="H68" s="1"/>
      <c r="I68" s="9"/>
      <c r="J68" s="1"/>
      <c r="K68" s="9"/>
    </row>
    <row r="69" spans="1:11" ht="20.25">
      <c r="A69" s="215" t="s">
        <v>114</v>
      </c>
      <c r="B69" s="18"/>
      <c r="C69" s="18"/>
      <c r="D69" s="21"/>
      <c r="E69" s="9"/>
      <c r="F69" s="1"/>
      <c r="G69" s="9"/>
      <c r="H69" s="1"/>
      <c r="I69" s="9"/>
      <c r="J69" s="1"/>
      <c r="K69" s="13"/>
    </row>
    <row r="70" spans="1:11" ht="15.75" customHeight="1">
      <c r="A70" s="253" t="s">
        <v>2</v>
      </c>
      <c r="B70" s="253"/>
      <c r="C70" s="254"/>
      <c r="D70" s="259" t="str">
        <f>CONCATENATE(IF('Perpetual Pricing'!$J$2="Standard",HLOOKUP($U$1,Phrasing!A:A,48,FALSE),IF('Perpetual Pricing'!$J$2="Gov/Edu/NonProfit",HLOOKUP($U$1,Phrasing!A:A,49,FALSE),"???"))," - ",$J$3,, " - ",VLOOKUP($J$3,PARTNERPROGRAM!$U$5:$V$9,2,FALSE))</f>
        <v>Standard Pricing - Non Partner - SRP</v>
      </c>
      <c r="E70" s="259"/>
      <c r="F70" s="259"/>
      <c r="G70" s="259"/>
      <c r="H70" s="260"/>
      <c r="I70" s="260"/>
      <c r="J70" s="259"/>
      <c r="K70" s="259"/>
    </row>
    <row r="71" spans="1:11" ht="12.75" customHeight="1">
      <c r="A71" s="253"/>
      <c r="B71" s="253"/>
      <c r="C71" s="254"/>
      <c r="D71" s="235" t="str">
        <f>HLOOKUP($U$1,Phrasing!A:A,40,FALSE)</f>
        <v>New</v>
      </c>
      <c r="E71" s="236"/>
      <c r="F71" s="237" t="str">
        <f>HLOOKUP($U$1,Phrasing!A:A,158,FALSE)</f>
        <v>Upgrade</v>
      </c>
      <c r="G71" s="238"/>
      <c r="H71" s="230" t="str">
        <f>HLOOKUP($U$1,Phrasing!A:A,170,FALSE)</f>
        <v>1Yr Maintenance</v>
      </c>
      <c r="I71" s="231"/>
      <c r="J71" s="239" t="str">
        <f>HLOOKUP($U$1,Phrasing!A:A,45,FALSE)</f>
        <v>Premium Support</v>
      </c>
      <c r="K71" s="240"/>
    </row>
    <row r="72" spans="1:11">
      <c r="A72" s="253"/>
      <c r="B72" s="253"/>
      <c r="C72" s="254"/>
      <c r="D72" s="243" t="str">
        <f>HLOOKUP($U$1,Phrasing!A:A,23,FALSE)</f>
        <v>Includes one year of Maintenance</v>
      </c>
      <c r="E72" s="244"/>
      <c r="F72" s="245" t="str">
        <f>HLOOKUP($U$1,Phrasing!A:A,23,FALSE)</f>
        <v>Includes one year of Maintenance</v>
      </c>
      <c r="G72" s="246"/>
      <c r="H72" s="228" t="str">
        <f>HLOOKUP($U$1,Phrasing!A:A,171,FALSE)</f>
        <v>Renewal</v>
      </c>
      <c r="I72" s="229"/>
      <c r="J72" s="241"/>
      <c r="K72" s="242"/>
    </row>
    <row r="73" spans="1:11">
      <c r="A73" s="255"/>
      <c r="B73" s="255"/>
      <c r="C73" s="256"/>
      <c r="D73" s="100" t="str">
        <f>CONCATENATE(HLOOKUP($U$1,Phrasing!A:A,46,FALSE),": ",VLOOKUP('Perpetual Pricing'!$J$1,XE!$A:$B,2,FALSE))</f>
        <v>Price: EUR</v>
      </c>
      <c r="E73" s="38" t="str">
        <f>HLOOKUP($U$1,Phrasing!A:A,43,FALSE)</f>
        <v>Part Number</v>
      </c>
      <c r="F73" s="53" t="s">
        <v>12</v>
      </c>
      <c r="G73" s="38" t="str">
        <f>HLOOKUP($U$1,Phrasing!A:A,43,FALSE)</f>
        <v>Part Number</v>
      </c>
      <c r="H73" s="39" t="s">
        <v>12</v>
      </c>
      <c r="I73" s="96" t="str">
        <f>HLOOKUP($U$1,Phrasing!A:A,43,FALSE)</f>
        <v>Part Number</v>
      </c>
      <c r="J73" s="54" t="s">
        <v>12</v>
      </c>
      <c r="K73" s="55" t="str">
        <f>HLOOKUP($U$1,Phrasing!A:A,43,FALSE)</f>
        <v>Part Number</v>
      </c>
    </row>
    <row r="74" spans="1:11">
      <c r="A74" s="68" t="s">
        <v>120</v>
      </c>
      <c r="B74" s="69"/>
      <c r="C74" s="69"/>
      <c r="D74" s="85" t="str">
        <f>TEXT(ROUND(BASE!D65*VLOOKUP('Perpetual Pricing'!$J$1,XE!$A:$F,6,FALSE)*VLOOKUP('Perpetual Pricing'!$J$1,XE!$A:$L,12,FALSE)*(HLOOKUP($J$3,PARTNERPROGRAM!$D$7:$H$9,3,FALSE)),VLOOKUP('Perpetual Pricing'!$J$1,XE!$A:$H,8,FALSE)),VLOOKUP('Perpetual Pricing'!J$1,XE!$A:$G,7,FALSE))</f>
        <v>285,1200</v>
      </c>
      <c r="E74" s="42" t="str">
        <f>CONCATENATE(LEFT(BASE!E74,6),VLOOKUP('Perpetual Pricing'!$J$1,XE!$A:$C,3,FALSE),RIGHT(BASE!E74,9))</f>
        <v>QBUS00EUPC0100ZZZ</v>
      </c>
      <c r="F74" s="262" t="s">
        <v>116</v>
      </c>
      <c r="G74" s="262"/>
      <c r="H74" s="262" t="s">
        <v>117</v>
      </c>
      <c r="I74" s="262"/>
      <c r="J74" s="262" t="s">
        <v>118</v>
      </c>
      <c r="K74" s="262"/>
    </row>
    <row r="75" spans="1:11">
      <c r="A75" s="44" t="s">
        <v>90</v>
      </c>
      <c r="B75" s="64"/>
      <c r="C75" s="64"/>
      <c r="D75" s="65"/>
      <c r="E75" s="66"/>
      <c r="F75" s="67"/>
      <c r="G75" s="67"/>
      <c r="H75" s="67"/>
      <c r="I75" s="67"/>
      <c r="J75" s="67"/>
      <c r="K75" s="67"/>
    </row>
    <row r="76" spans="1:11">
      <c r="A76" s="44" t="str">
        <f>IF(OR('Perpetual Pricing'!$J$1="US-USD", 'Perpetual Pricing'!$J$1="Canada-CAD",'Perpetual Pricing'!$J$1="Canada-French-CAD"),"","")</f>
        <v/>
      </c>
      <c r="B76" s="49"/>
      <c r="C76" s="50"/>
      <c r="D76" s="35"/>
      <c r="E76" s="36"/>
      <c r="F76" s="35"/>
      <c r="G76" s="36"/>
      <c r="H76" s="35"/>
      <c r="I76" s="36"/>
      <c r="J76" s="35"/>
      <c r="K76" s="36"/>
    </row>
    <row r="77" spans="1:11">
      <c r="A77" s="44"/>
      <c r="B77" s="49"/>
      <c r="C77" s="50"/>
      <c r="D77" s="35"/>
      <c r="E77" s="36"/>
      <c r="F77" s="35"/>
      <c r="G77" s="36"/>
      <c r="H77" s="35"/>
      <c r="I77" s="36"/>
      <c r="J77" s="35"/>
      <c r="K77" s="36"/>
    </row>
    <row r="78" spans="1:11" ht="20.25">
      <c r="A78" s="215" t="s">
        <v>516</v>
      </c>
      <c r="B78" s="17"/>
      <c r="C78" s="17"/>
      <c r="D78" s="26"/>
      <c r="E78" s="20"/>
      <c r="F78" s="1"/>
      <c r="G78" s="9"/>
      <c r="H78" s="1"/>
      <c r="I78" s="9"/>
      <c r="J78" s="1"/>
      <c r="K78" s="13"/>
    </row>
    <row r="79" spans="1:11" ht="15.75" customHeight="1">
      <c r="A79" s="253" t="str">
        <f>HLOOKUP($U$1,Phrasing!A:A,20,FALSE)</f>
        <v>First year of maintenance is included in the purchase price.  *Premium Support requires an active Maintenance Agreement.</v>
      </c>
      <c r="B79" s="253"/>
      <c r="C79" s="254"/>
      <c r="D79" s="259" t="str">
        <f>CONCATENATE(IF('Perpetual Pricing'!$J$2="Standard",HLOOKUP($U$1,Phrasing!A:A,48,FALSE),IF('Perpetual Pricing'!$J$2="Gov/Edu/NonProfit",HLOOKUP($U$1,Phrasing!A:A,49,FALSE),"???"))," - ",$J$3,, " - ",VLOOKUP($J$3,PARTNERPROGRAM!$U$5:$V$9,2,FALSE))</f>
        <v>Standard Pricing - Non Partner - SRP</v>
      </c>
      <c r="E79" s="259"/>
      <c r="F79" s="259"/>
      <c r="G79" s="259"/>
      <c r="H79" s="260"/>
      <c r="I79" s="260"/>
      <c r="J79" s="259"/>
      <c r="K79" s="259"/>
    </row>
    <row r="80" spans="1:11" ht="12.75" customHeight="1">
      <c r="A80" s="253"/>
      <c r="B80" s="253"/>
      <c r="C80" s="254"/>
      <c r="D80" s="235" t="str">
        <f>HLOOKUP($U$1,Phrasing!A:A,40,FALSE)</f>
        <v>New</v>
      </c>
      <c r="E80" s="236"/>
      <c r="F80" s="237" t="str">
        <f>HLOOKUP($U$1,Phrasing!A:A,158,FALSE)</f>
        <v>Upgrade</v>
      </c>
      <c r="G80" s="238"/>
      <c r="H80" s="230" t="str">
        <f>HLOOKUP($U$1,Phrasing!A:A,170,FALSE)</f>
        <v>1Yr Maintenance</v>
      </c>
      <c r="I80" s="231"/>
      <c r="J80" s="239" t="str">
        <f>HLOOKUP($U$1,Phrasing!A:A,45,FALSE)</f>
        <v>Premium Support</v>
      </c>
      <c r="K80" s="240"/>
    </row>
    <row r="81" spans="1:11">
      <c r="A81" s="255"/>
      <c r="B81" s="255"/>
      <c r="C81" s="256"/>
      <c r="D81" s="243" t="str">
        <f>HLOOKUP($U$1,Phrasing!A:A,23,FALSE)</f>
        <v>Includes one year of Maintenance</v>
      </c>
      <c r="E81" s="244"/>
      <c r="F81" s="245" t="str">
        <f>HLOOKUP($U$1,Phrasing!A:A,23,FALSE)</f>
        <v>Includes one year of Maintenance</v>
      </c>
      <c r="G81" s="246"/>
      <c r="H81" s="228" t="str">
        <f>HLOOKUP($U$1,Phrasing!A:A,171,FALSE)</f>
        <v>Renewal</v>
      </c>
      <c r="I81" s="229"/>
      <c r="J81" s="241"/>
      <c r="K81" s="242"/>
    </row>
    <row r="82" spans="1:11" ht="25.5">
      <c r="A82" s="220" t="str">
        <f>HLOOKUP($U$1,Phrasing!A:A,50,FALSE)</f>
        <v>Quantity</v>
      </c>
      <c r="B82" s="220" t="str">
        <f>HLOOKUP($U$1,Phrasing!A:A,18,FALSE)</f>
        <v>Discount Level</v>
      </c>
      <c r="C82" s="220" t="str">
        <f>HLOOKUP($U$1,Phrasing!A:A,19,FALSE)</f>
        <v>Discount off  single user license</v>
      </c>
      <c r="D82" s="221" t="str">
        <f>CONCATENATE(HLOOKUP($U$1,Phrasing!A:A,46,FALSE),": ",VLOOKUP('Perpetual Pricing'!$J$1,XE!$A:$B,2,FALSE))</f>
        <v>Price: EUR</v>
      </c>
      <c r="E82" s="38" t="str">
        <f>HLOOKUP($U$1,Phrasing!A:A,43,FALSE)</f>
        <v>Part Number</v>
      </c>
      <c r="F82" s="100" t="str">
        <f>CONCATENATE(HLOOKUP($U$1,Phrasing!A:A,46,FALSE),": ",VLOOKUP('Perpetual Pricing'!$J$1,XE!$A:$B,2,FALSE))</f>
        <v>Price: EUR</v>
      </c>
      <c r="G82" s="38" t="str">
        <f>HLOOKUP($U$1,Phrasing!A:A,43,FALSE)</f>
        <v>Part Number</v>
      </c>
      <c r="H82" s="100" t="str">
        <f>CONCATENATE(HLOOKUP($U$1,Phrasing!A:A,46,FALSE),": ",VLOOKUP('Perpetual Pricing'!$J$1,XE!$A:$B,2,FALSE))</f>
        <v>Price: EUR</v>
      </c>
      <c r="I82" s="96" t="str">
        <f>HLOOKUP($U$1,Phrasing!A:A,43,FALSE)</f>
        <v>Part Number</v>
      </c>
      <c r="J82" s="100" t="str">
        <f>CONCATENATE(HLOOKUP($U$1,Phrasing!A:A,46,FALSE),": ",VLOOKUP('Perpetual Pricing'!$J$1,XE!$A:$B,2,FALSE))</f>
        <v>Price: EUR</v>
      </c>
      <c r="K82" s="38" t="str">
        <f>HLOOKUP($U$1,Phrasing!A:A,43,FALSE)</f>
        <v>Part Number</v>
      </c>
    </row>
    <row r="83" spans="1:11">
      <c r="A83" s="40" t="s">
        <v>131</v>
      </c>
      <c r="B83" s="219" t="s">
        <v>15</v>
      </c>
      <c r="C83" s="51">
        <v>0</v>
      </c>
      <c r="D83" s="222" t="str">
        <f>TEXT(ROUND(VLOOKUP('Perpetual Pricing'!$J$2,XE!$M$5:$N$6,2,FALSE)*BASE!D83*VLOOKUP('Perpetual Pricing'!$J$1,XE!$A:$F,6,FALSE)* (HLOOKUP($J$3,PARTNERPROGRAM!$D$7:$H$8,2,FALSE)),VLOOKUP('Perpetual Pricing'!$J$1,XE!$A:$H,8,FALSE)),VLOOKUP('Perpetual Pricing'!$J$1,XE!$A:$G,7,FALSE))</f>
        <v>79,8600</v>
      </c>
      <c r="E83" s="42" t="str">
        <f>CONCATENATE(LEFT(BASE!E83,6),VLOOKUP('Perpetual Pricing'!$J$1,XE!$A:$C,3,FALSE),MID(BASE!E83,9,1),IF('Perpetual Pricing'!$J$2="Standard","S","G"),RIGHT(BASE!E83,7))</f>
        <v>KXDW00EUPS0100ZZZ</v>
      </c>
      <c r="F83" s="85" t="str">
        <f>TEXT(ROUND(VLOOKUP('Perpetual Pricing'!$J$2,XE!$M$5:$N$6,2,FALSE)*BASE!F83*VLOOKUP('Perpetual Pricing'!$J$1,XE!$A:$F,6,FALSE)* (HLOOKUP($J$3,PARTNERPROGRAM!$D$7:$H$8,2,FALSE)),VLOOKUP('Perpetual Pricing'!$J$1,XE!$A:$H,8,FALSE)),VLOOKUP('Perpetual Pricing'!$J$1,XE!$A:$G,7,FALSE))</f>
        <v>39,9300</v>
      </c>
      <c r="G83" s="42" t="str">
        <f>CONCATENATE(LEFT(BASE!G83,6),VLOOKUP('Perpetual Pricing'!$J$1,XE!$A:$C,3,FALSE),MID(BASE!G83,9,1),IF('Perpetual Pricing'!$J$2="Standard","S","G"),RIGHT(BASE!G83,7))</f>
        <v>KXDW00EUUS0100ZZZ</v>
      </c>
      <c r="H83" s="85" t="str">
        <f>TEXT(ROUND(VLOOKUP('Perpetual Pricing'!$J$2,XE!$M$5:$N$6,2,FALSE)*BASE!H83*VLOOKUP('Perpetual Pricing'!$J$1,XE!$A:$F,6,FALSE)* (HLOOKUP($J$3,PARTNERPROGRAM!$D$7:$H$8,2,FALSE)),VLOOKUP('Perpetual Pricing'!$J$1,XE!$A:$H,8,FALSE)),VLOOKUP('Perpetual Pricing'!$J$1,XE!$A:$G,7,FALSE))</f>
        <v>15,9700</v>
      </c>
      <c r="I83" s="42" t="str">
        <f>CONCATENATE(LEFT(BASE!I83,6),VLOOKUP('Perpetual Pricing'!$J$1,XE!$A:$C,3,FALSE),MID(BASE!I83,9,1),IF('Perpetual Pricing'!$J$2="Standard","S","G"),RIGHT(BASE!I83,7))</f>
        <v>KXDW00EUMS011YZZZ</v>
      </c>
      <c r="J83" s="70" t="s">
        <v>40</v>
      </c>
      <c r="K83" s="56" t="s">
        <v>40</v>
      </c>
    </row>
    <row r="84" spans="1:11">
      <c r="A84" s="40" t="s">
        <v>135</v>
      </c>
      <c r="B84" s="219" t="s">
        <v>21</v>
      </c>
      <c r="C84" s="52">
        <f>BASE!$M$2</f>
        <v>0.09</v>
      </c>
      <c r="D84" s="222" t="str">
        <f>TEXT(ROUND(VLOOKUP('Perpetual Pricing'!$J$2,XE!$M$5:$N$6,2,FALSE)*BASE!D84*VLOOKUP('Perpetual Pricing'!$J$1,XE!$A:$F,6,FALSE)* (HLOOKUP($J$3,PARTNERPROGRAM!$D$7:$H$8,2,FALSE)),VLOOKUP('Perpetual Pricing'!$J$1,XE!$A:$H,8,FALSE)),VLOOKUP('Perpetual Pricing'!$J$1,XE!$A:$G,7,FALSE))</f>
        <v>72,6700</v>
      </c>
      <c r="E84" s="42" t="str">
        <f>CONCATENATE(LEFT(BASE!E84,6),VLOOKUP('Perpetual Pricing'!$J$1,XE!$A:$C,3,FALSE),MID(BASE!E84,9,1),IF('Perpetual Pricing'!$J$2="Standard","S","G"),RIGHT(BASE!E84,7))</f>
        <v>KXDW00EUPS0100ZZA</v>
      </c>
      <c r="F84" s="85" t="str">
        <f>TEXT(ROUND(VLOOKUP('Perpetual Pricing'!$J$2,XE!$M$5:$N$6,2,FALSE)*BASE!F84*VLOOKUP('Perpetual Pricing'!$J$1,XE!$A:$F,6,FALSE)* (HLOOKUP($J$3,PARTNERPROGRAM!$D$7:$H$8,2,FALSE)),VLOOKUP('Perpetual Pricing'!$J$1,XE!$A:$H,8,FALSE)),VLOOKUP('Perpetual Pricing'!$J$1,XE!$A:$G,7,FALSE))</f>
        <v>36,3400</v>
      </c>
      <c r="G84" s="42" t="str">
        <f>CONCATENATE(LEFT(BASE!G84,6),VLOOKUP('Perpetual Pricing'!$J$1,XE!$A:$C,3,FALSE),MID(BASE!G84,9,1),IF('Perpetual Pricing'!$J$2="Standard","S","G"),RIGHT(BASE!G84,7))</f>
        <v>KXDW00EUUS0100ZZA</v>
      </c>
      <c r="H84" s="85" t="str">
        <f>TEXT(ROUND(VLOOKUP('Perpetual Pricing'!$J$2,XE!$M$5:$N$6,2,FALSE)*BASE!H84*VLOOKUP('Perpetual Pricing'!$J$1,XE!$A:$F,6,FALSE)* (HLOOKUP($J$3,PARTNERPROGRAM!$D$7:$H$8,2,FALSE)),VLOOKUP('Perpetual Pricing'!$J$1,XE!$A:$H,8,FALSE)),VLOOKUP('Perpetual Pricing'!$J$1,XE!$A:$G,7,FALSE))</f>
        <v>14,5300</v>
      </c>
      <c r="I84" s="42" t="str">
        <f>CONCATENATE(LEFT(BASE!I84,6),VLOOKUP('Perpetual Pricing'!$J$1,XE!$A:$C,3,FALSE),MID(BASE!I84,9,1),IF('Perpetual Pricing'!$J$2="Standard","S","G"),RIGHT(BASE!I84,7))</f>
        <v>KXDW00EUMS011YZZA</v>
      </c>
      <c r="J84" s="85" t="str">
        <f>TEXT(ROUND(VLOOKUP('Perpetual Pricing'!$J$2,XE!$M$5:$N$6,2,FALSE)*BASE!J84*VLOOKUP('Perpetual Pricing'!$J$1,XE!$A:$F,6,FALSE)* (HLOOKUP($J$3,PARTNERPROGRAM!$D$7:$H$8,2,FALSE)),VLOOKUP('Perpetual Pricing'!$J$1,XE!$A:$H,8,FALSE)),VLOOKUP('Perpetual Pricing'!$J$1,XE!$A:$G,7,FALSE))</f>
        <v>10,900</v>
      </c>
      <c r="K84" s="42" t="str">
        <f>CONCATENATE(LEFT(BASE!K84,6),VLOOKUP('Perpetual Pricing'!$J$1,XE!$A:$C,3,FALSE),MID(BASE!K84,9,1),IF('Perpetual Pricing'!$J$2="Standard","S","G"),RIGHT(BASE!K84,7))</f>
        <v>KXDW00EUSS011YZZA</v>
      </c>
    </row>
    <row r="85" spans="1:11">
      <c r="A85" s="43" t="s">
        <v>140</v>
      </c>
      <c r="B85" s="219" t="s">
        <v>27</v>
      </c>
      <c r="C85" s="52">
        <f>BASE!$M$3</f>
        <v>0.23300000000000001</v>
      </c>
      <c r="D85" s="222" t="str">
        <f>TEXT(ROUND(VLOOKUP('Perpetual Pricing'!$J$2,XE!$M$5:$N$6,2,FALSE)*BASE!D85*VLOOKUP('Perpetual Pricing'!$J$1,XE!$A:$F,6,FALSE)* (HLOOKUP($J$3,PARTNERPROGRAM!$D$7:$H$8,2,FALSE)),VLOOKUP('Perpetual Pricing'!$J$1,XE!$A:$H,8,FALSE)),VLOOKUP('Perpetual Pricing'!$J$1,XE!$A:$G,7,FALSE))</f>
        <v>61,2500</v>
      </c>
      <c r="E85" s="42" t="str">
        <f>CONCATENATE(LEFT(BASE!E85,6),VLOOKUP('Perpetual Pricing'!$J$1,XE!$A:$C,3,FALSE),MID(BASE!E85,9,1),IF('Perpetual Pricing'!$J$2="Standard","S","G"),RIGHT(BASE!E85,7))</f>
        <v>KXDW00EUPS0100ZZB</v>
      </c>
      <c r="F85" s="85" t="str">
        <f>TEXT(ROUND(VLOOKUP('Perpetual Pricing'!$J$2,XE!$M$5:$N$6,2,FALSE)*BASE!F85*VLOOKUP('Perpetual Pricing'!$J$1,XE!$A:$F,6,FALSE)* (HLOOKUP($J$3,PARTNERPROGRAM!$D$7:$H$8,2,FALSE)),VLOOKUP('Perpetual Pricing'!$J$1,XE!$A:$H,8,FALSE)),VLOOKUP('Perpetual Pricing'!$J$1,XE!$A:$G,7,FALSE))</f>
        <v>30,6200</v>
      </c>
      <c r="G85" s="42" t="str">
        <f>CONCATENATE(LEFT(BASE!G85,6),VLOOKUP('Perpetual Pricing'!$J$1,XE!$A:$C,3,FALSE),MID(BASE!G85,9,1),IF('Perpetual Pricing'!$J$2="Standard","S","G"),RIGHT(BASE!G85,7))</f>
        <v>KXDW00EUUS0100ZZB</v>
      </c>
      <c r="H85" s="85" t="str">
        <f>TEXT(ROUND(VLOOKUP('Perpetual Pricing'!$J$2,XE!$M$5:$N$6,2,FALSE)*BASE!H85*VLOOKUP('Perpetual Pricing'!$J$1,XE!$A:$F,6,FALSE)* (HLOOKUP($J$3,PARTNERPROGRAM!$D$7:$H$8,2,FALSE)),VLOOKUP('Perpetual Pricing'!$J$1,XE!$A:$H,8,FALSE)),VLOOKUP('Perpetual Pricing'!$J$1,XE!$A:$G,7,FALSE))</f>
        <v>12,2500</v>
      </c>
      <c r="I85" s="42" t="str">
        <f>CONCATENATE(LEFT(BASE!I85,6),VLOOKUP('Perpetual Pricing'!$J$1,XE!$A:$C,3,FALSE),MID(BASE!I85,9,1),IF('Perpetual Pricing'!$J$2="Standard","S","G"),RIGHT(BASE!I85,7))</f>
        <v>KXDW00EUMS011YZZB</v>
      </c>
      <c r="J85" s="85" t="str">
        <f>TEXT(ROUND(VLOOKUP('Perpetual Pricing'!$J$2,XE!$M$5:$N$6,2,FALSE)*BASE!J85*VLOOKUP('Perpetual Pricing'!$J$1,XE!$A:$F,6,FALSE)* (HLOOKUP($J$3,PARTNERPROGRAM!$D$7:$H$8,2,FALSE)),VLOOKUP('Perpetual Pricing'!$J$1,XE!$A:$H,8,FALSE)),VLOOKUP('Perpetual Pricing'!$J$1,XE!$A:$G,7,FALSE))</f>
        <v>9,1900</v>
      </c>
      <c r="K85" s="42" t="str">
        <f>CONCATENATE(LEFT(BASE!K85,6),VLOOKUP('Perpetual Pricing'!$J$1,XE!$A:$C,3,FALSE),MID(BASE!K85,9,1),IF('Perpetual Pricing'!$J$2="Standard","S","G"),RIGHT(BASE!K85,7))</f>
        <v>KXDW00EUSS011YZZB</v>
      </c>
    </row>
    <row r="86" spans="1:11">
      <c r="A86" s="43" t="s">
        <v>145</v>
      </c>
      <c r="B86" s="219" t="s">
        <v>33</v>
      </c>
      <c r="C86" s="52">
        <f>BASE!$M$4</f>
        <v>0.377</v>
      </c>
      <c r="D86" s="222" t="str">
        <f>TEXT(ROUND(VLOOKUP('Perpetual Pricing'!$J$2,XE!$M$5:$N$6,2,FALSE)*BASE!D86*VLOOKUP('Perpetual Pricing'!$J$1,XE!$A:$F,6,FALSE)* (HLOOKUP($J$3,PARTNERPROGRAM!$D$7:$H$8,2,FALSE)),VLOOKUP('Perpetual Pricing'!$J$1,XE!$A:$H,8,FALSE)),VLOOKUP('Perpetual Pricing'!$J$1,XE!$A:$G,7,FALSE))</f>
        <v>49,7500</v>
      </c>
      <c r="E86" s="42" t="str">
        <f>CONCATENATE(LEFT(BASE!E86,6),VLOOKUP('Perpetual Pricing'!$J$1,XE!$A:$C,3,FALSE),MID(BASE!E86,9,1),IF('Perpetual Pricing'!$J$2="Standard","S","G"),RIGHT(BASE!E86,7))</f>
        <v>KXDW00EUPS0100ZZC</v>
      </c>
      <c r="F86" s="85" t="str">
        <f>TEXT(ROUND(VLOOKUP('Perpetual Pricing'!$J$2,XE!$M$5:$N$6,2,FALSE)*BASE!F86*VLOOKUP('Perpetual Pricing'!$J$1,XE!$A:$F,6,FALSE)* (HLOOKUP($J$3,PARTNERPROGRAM!$D$7:$H$8,2,FALSE)),VLOOKUP('Perpetual Pricing'!$J$1,XE!$A:$H,8,FALSE)),VLOOKUP('Perpetual Pricing'!$J$1,XE!$A:$G,7,FALSE))</f>
        <v>24,8700</v>
      </c>
      <c r="G86" s="42" t="str">
        <f>CONCATENATE(LEFT(BASE!G86,6),VLOOKUP('Perpetual Pricing'!$J$1,XE!$A:$C,3,FALSE),MID(BASE!G86,9,1),IF('Perpetual Pricing'!$J$2="Standard","S","G"),RIGHT(BASE!G86,7))</f>
        <v>KXDW00EUUS0100ZZC</v>
      </c>
      <c r="H86" s="85" t="str">
        <f>TEXT(ROUND(VLOOKUP('Perpetual Pricing'!$J$2,XE!$M$5:$N$6,2,FALSE)*BASE!H86*VLOOKUP('Perpetual Pricing'!$J$1,XE!$A:$F,6,FALSE)* (HLOOKUP($J$3,PARTNERPROGRAM!$D$7:$H$8,2,FALSE)),VLOOKUP('Perpetual Pricing'!$J$1,XE!$A:$H,8,FALSE)),VLOOKUP('Perpetual Pricing'!$J$1,XE!$A:$G,7,FALSE))</f>
        <v>9,9500</v>
      </c>
      <c r="I86" s="42" t="str">
        <f>CONCATENATE(LEFT(BASE!I86,6),VLOOKUP('Perpetual Pricing'!$J$1,XE!$A:$C,3,FALSE),MID(BASE!I86,9,1),IF('Perpetual Pricing'!$J$2="Standard","S","G"),RIGHT(BASE!I86,7))</f>
        <v>KXDW00EUMS011YZZC</v>
      </c>
      <c r="J86" s="85" t="str">
        <f>TEXT(ROUND(VLOOKUP('Perpetual Pricing'!$J$2,XE!$M$5:$N$6,2,FALSE)*BASE!J86*VLOOKUP('Perpetual Pricing'!$J$1,XE!$A:$F,6,FALSE)* (HLOOKUP($J$3,PARTNERPROGRAM!$D$7:$H$8,2,FALSE)),VLOOKUP('Perpetual Pricing'!$J$1,XE!$A:$H,8,FALSE)),VLOOKUP('Perpetual Pricing'!$J$1,XE!$A:$G,7,FALSE))</f>
        <v>7,4600</v>
      </c>
      <c r="K86" s="42" t="str">
        <f>CONCATENATE(LEFT(BASE!K86,6),VLOOKUP('Perpetual Pricing'!$J$1,XE!$A:$C,3,FALSE),MID(BASE!K86,9,1),IF('Perpetual Pricing'!$J$2="Standard","S","G"),RIGHT(BASE!K86,7))</f>
        <v>KXDW00EUSS011YZZC</v>
      </c>
    </row>
    <row r="87" spans="1:11">
      <c r="A87" s="297" t="s">
        <v>220</v>
      </c>
      <c r="B87" s="298"/>
      <c r="C87" s="299"/>
      <c r="D87" s="222" t="str">
        <f>TEXT(ROUND(VLOOKUP('Perpetual Pricing'!$J$2,XE!$M$5:$N$6,2,FALSE)*BASE!D87*VLOOKUP('Perpetual Pricing'!$J$1,XE!$A:$F,6,FALSE)* (HLOOKUP($J$3,PARTNERPROGRAM!$D$7:$H$8,2,FALSE)),VLOOKUP('Perpetual Pricing'!$J$1,XE!$A:$H,8,FALSE)),VLOOKUP('Perpetual Pricing'!$J$1,XE!$A:$G,7,FALSE))</f>
        <v>186,8600</v>
      </c>
      <c r="E87" s="42" t="str">
        <f>CONCATENATE(LEFT(BASE!E87,6),VLOOKUP('Perpetual Pricing'!$J$1,XE!$A:$C,3,FALSE),MID(BASE!E87,9,1),IF('Perpetual Pricing'!$J$2="Standard","S","G"),RIGHT(BASE!E87,7))</f>
        <v>KXDW00EUPS0300ZZZ</v>
      </c>
      <c r="F87" s="222" t="str">
        <f>TEXT(ROUND(VLOOKUP('Perpetual Pricing'!$J$2,XE!$M$5:$N$6,2,FALSE)*BASE!F87*VLOOKUP('Perpetual Pricing'!$J$1,XE!$A:$F,6,FALSE)* (HLOOKUP($J$3,PARTNERPROGRAM!$D$7:$H$8,2,FALSE)),VLOOKUP('Perpetual Pricing'!$J$1,XE!$A:$H,8,FALSE)),VLOOKUP('Perpetual Pricing'!$J$1,XE!$A:$G,7,FALSE))</f>
        <v>93,4300</v>
      </c>
      <c r="G87" s="42" t="str">
        <f>CONCATENATE(LEFT(BASE!G87,6),VLOOKUP('Perpetual Pricing'!$J$1,XE!$A:$C,3,FALSE),MID(BASE!G87,9,1),IF('Perpetual Pricing'!$J$2="Standard","S","G"),RIGHT(BASE!G87,7))</f>
        <v>KXDW00EUUS0300ZZZ</v>
      </c>
      <c r="H87" s="222" t="str">
        <f>TEXT(ROUND(VLOOKUP('Perpetual Pricing'!$J$2,XE!$M$5:$N$6,2,FALSE)*BASE!H87*VLOOKUP('Perpetual Pricing'!$J$1,XE!$A:$F,6,FALSE)* (HLOOKUP($J$3,PARTNERPROGRAM!$D$7:$H$8,2,FALSE)),VLOOKUP('Perpetual Pricing'!$J$1,XE!$A:$H,8,FALSE)),VLOOKUP('Perpetual Pricing'!$J$1,XE!$A:$G,7,FALSE))</f>
        <v>37,3800</v>
      </c>
      <c r="I87" s="42" t="str">
        <f>CONCATENATE(LEFT(BASE!I87,6),VLOOKUP('Perpetual Pricing'!$J$1,XE!$A:$C,3,FALSE),MID(BASE!I87,9,1),IF('Perpetual Pricing'!$J$2="Standard","S","G"),RIGHT(BASE!I87,7))</f>
        <v>KXDW00EUMS031YZZZ</v>
      </c>
      <c r="J87" s="70" t="s">
        <v>40</v>
      </c>
      <c r="K87" s="70" t="s">
        <v>40</v>
      </c>
    </row>
    <row r="88" spans="1:11">
      <c r="A88" s="44" t="str">
        <f>HLOOKUP($U$1,Phrasing!A:A,4,FALSE)</f>
        <v>* For higher volume sales, please contact StorageCraft.</v>
      </c>
      <c r="B88" s="57"/>
      <c r="C88" s="58"/>
      <c r="D88" s="87"/>
      <c r="E88" s="88"/>
      <c r="F88" s="87"/>
      <c r="G88" s="88"/>
      <c r="H88" s="87"/>
      <c r="I88" s="88"/>
      <c r="J88" s="87"/>
      <c r="K88" s="88"/>
    </row>
    <row r="89" spans="1:11">
      <c r="A89" s="7"/>
      <c r="B89" s="7"/>
      <c r="C89" s="8"/>
      <c r="D89" s="1"/>
      <c r="E89" s="9"/>
      <c r="F89" s="1"/>
      <c r="G89" s="9"/>
      <c r="H89" s="1"/>
      <c r="I89" s="9"/>
      <c r="J89" s="1"/>
      <c r="K89" s="9"/>
    </row>
    <row r="90" spans="1:11" ht="20.25">
      <c r="A90" s="215" t="s">
        <v>154</v>
      </c>
      <c r="B90" s="11"/>
      <c r="C90" s="11"/>
      <c r="D90" s="12"/>
      <c r="E90" s="9"/>
      <c r="F90" s="1"/>
      <c r="G90" s="9"/>
      <c r="H90" s="1"/>
      <c r="I90" s="9"/>
      <c r="J90" s="1"/>
      <c r="K90" s="13"/>
    </row>
    <row r="91" spans="1:11" ht="20.25">
      <c r="A91" s="215" t="s">
        <v>114</v>
      </c>
      <c r="B91" s="11"/>
      <c r="C91" s="11"/>
      <c r="D91" s="12"/>
      <c r="E91" s="9"/>
      <c r="F91" s="1"/>
      <c r="G91" s="9"/>
      <c r="H91" s="1"/>
      <c r="I91" s="9"/>
      <c r="J91" s="1"/>
      <c r="K91" s="13"/>
    </row>
    <row r="92" spans="1:11" ht="15.75" customHeight="1">
      <c r="A92" s="253" t="str">
        <f>HLOOKUP($U$1,Phrasing!A:A,20,FALSE)</f>
        <v>First year of maintenance is included in the purchase price.  *Premium Support requires an active Maintenance Agreement.</v>
      </c>
      <c r="B92" s="253"/>
      <c r="C92" s="254"/>
      <c r="D92" s="232" t="str">
        <f>HLOOKUP($U$1,Phrasing!A:A,16,FALSE)</f>
        <v>Competitive Upgrade Price - SRP</v>
      </c>
      <c r="E92" s="233"/>
      <c r="F92" s="233"/>
      <c r="G92" s="233"/>
      <c r="H92" s="233"/>
      <c r="I92" s="233"/>
      <c r="J92" s="233"/>
      <c r="K92" s="234"/>
    </row>
    <row r="93" spans="1:11" ht="12.75" customHeight="1">
      <c r="A93" s="253"/>
      <c r="B93" s="253"/>
      <c r="C93" s="254"/>
      <c r="D93" s="235" t="str">
        <f>HLOOKUP($U$1,Phrasing!A:A,40,FALSE)</f>
        <v>New</v>
      </c>
      <c r="E93" s="236"/>
      <c r="F93" s="237" t="str">
        <f>HLOOKUP($U$1,Phrasing!A:A,158,FALSE)</f>
        <v>Upgrade</v>
      </c>
      <c r="G93" s="238"/>
      <c r="H93" s="230" t="str">
        <f>HLOOKUP($U$1,Phrasing!A:A,170,FALSE)</f>
        <v>1Yr Maintenance</v>
      </c>
      <c r="I93" s="231"/>
      <c r="J93" s="239" t="str">
        <f>HLOOKUP($U$1,Phrasing!A:A,45,FALSE)</f>
        <v>Premium Support</v>
      </c>
      <c r="K93" s="240"/>
    </row>
    <row r="94" spans="1:11">
      <c r="A94" s="255"/>
      <c r="B94" s="255"/>
      <c r="C94" s="256"/>
      <c r="D94" s="243" t="str">
        <f>HLOOKUP($U$1,Phrasing!A:A,23,FALSE)</f>
        <v>Includes one year of Maintenance</v>
      </c>
      <c r="E94" s="244"/>
      <c r="F94" s="245" t="str">
        <f>HLOOKUP($U$1,Phrasing!A:A,23,FALSE)</f>
        <v>Includes one year of Maintenance</v>
      </c>
      <c r="G94" s="246"/>
      <c r="H94" s="228" t="str">
        <f>HLOOKUP($U$1,Phrasing!A:A,171,FALSE)</f>
        <v>Renewal</v>
      </c>
      <c r="I94" s="229"/>
      <c r="J94" s="241"/>
      <c r="K94" s="242"/>
    </row>
    <row r="95" spans="1:11">
      <c r="A95" s="97" t="str">
        <f>HLOOKUP($U$1,Phrasing!A:A,50,FALSE)</f>
        <v>Quantity</v>
      </c>
      <c r="B95" s="268" t="str">
        <f>HLOOKUP($U$1,Phrasing!A:A,18,FALSE)</f>
        <v>Discount Level</v>
      </c>
      <c r="C95" s="268"/>
      <c r="D95" s="100" t="str">
        <f>CONCATENATE(HLOOKUP($U$1,Phrasing!A:A,46,FALSE),": ",VLOOKUP('Perpetual Pricing'!$J$1,XE!$A:$B,2,FALSE))</f>
        <v>Price: EUR</v>
      </c>
      <c r="E95" s="38" t="str">
        <f>HLOOKUP($U$1,Phrasing!A:A,43,FALSE)</f>
        <v>Part Number</v>
      </c>
      <c r="F95" s="100" t="s">
        <v>12</v>
      </c>
      <c r="G95" s="38" t="str">
        <f>HLOOKUP($U$1,Phrasing!A:A,43,FALSE)</f>
        <v>Part Number</v>
      </c>
      <c r="H95" s="53" t="s">
        <v>12</v>
      </c>
      <c r="I95" s="38" t="str">
        <f>HLOOKUP($U$1,Phrasing!A:A,43,FALSE)</f>
        <v>Part Number</v>
      </c>
      <c r="J95" s="100" t="s">
        <v>12</v>
      </c>
      <c r="K95" s="38" t="str">
        <f>HLOOKUP($U$1,Phrasing!A:A,43,FALSE)</f>
        <v>Part Number</v>
      </c>
    </row>
    <row r="96" spans="1:11">
      <c r="A96" s="40" t="s">
        <v>131</v>
      </c>
      <c r="B96" s="269" t="s">
        <v>15</v>
      </c>
      <c r="C96" s="269"/>
      <c r="D96" s="85" t="str">
        <f>TEXT(ROUND(BASE!D83*VLOOKUP('Perpetual Pricing'!$J$1,XE!$A:$F,6,FALSE)*VLOOKUP('Perpetual Pricing'!$J$1,XE!$A:$L,12,FALSE)*(HLOOKUP($J$3,PARTNERPROGRAM!$D$7:$H$9,3,FALSE)),VLOOKUP('Perpetual Pricing'!$J$1,XE!$A:$H,8,FALSE)),VLOOKUP('Perpetual Pricing'!J$1,XE!$A:$G,7,FALSE))</f>
        <v>51,9100</v>
      </c>
      <c r="E96" s="42" t="str">
        <f>CONCATENATE(LEFT(BASE!E96,6),VLOOKUP('Perpetual Pricing'!$J$1,XE!$A:$C,3,FALSE),RIGHT(BASE!E96,9))</f>
        <v>KXDW00EUPC0100ZZZ</v>
      </c>
      <c r="F96" s="270" t="s">
        <v>116</v>
      </c>
      <c r="G96" s="271"/>
      <c r="H96" s="270" t="s">
        <v>117</v>
      </c>
      <c r="I96" s="271"/>
      <c r="J96" s="270" t="s">
        <v>118</v>
      </c>
      <c r="K96" s="271"/>
    </row>
    <row r="97" spans="1:11">
      <c r="A97" s="40" t="s">
        <v>135</v>
      </c>
      <c r="B97" s="269" t="s">
        <v>21</v>
      </c>
      <c r="C97" s="269"/>
      <c r="D97" s="85" t="str">
        <f>TEXT(ROUND(BASE!D84*VLOOKUP('Perpetual Pricing'!$J$1,XE!$A:$F,6,FALSE)*VLOOKUP('Perpetual Pricing'!$J$1,XE!$A:$L,12,FALSE)*(HLOOKUP($J$3,PARTNERPROGRAM!$D$7:$H$9,3,FALSE)),VLOOKUP('Perpetual Pricing'!$J$1,XE!$A:$H,8,FALSE)),VLOOKUP('Perpetual Pricing'!J$1,XE!$A:$G,7,FALSE))</f>
        <v>47,2400</v>
      </c>
      <c r="E97" s="42" t="str">
        <f>CONCATENATE(LEFT(BASE!E97,6),VLOOKUP('Perpetual Pricing'!$J$1,XE!$A:$C,3,FALSE),RIGHT(BASE!E97,9))</f>
        <v>KXDW00EUPC0100ZZA</v>
      </c>
      <c r="F97" s="271"/>
      <c r="G97" s="271"/>
      <c r="H97" s="271"/>
      <c r="I97" s="271"/>
      <c r="J97" s="271"/>
      <c r="K97" s="271"/>
    </row>
    <row r="98" spans="1:11">
      <c r="A98" s="43" t="s">
        <v>140</v>
      </c>
      <c r="B98" s="269" t="s">
        <v>27</v>
      </c>
      <c r="C98" s="269"/>
      <c r="D98" s="85" t="str">
        <f>TEXT(ROUND(BASE!D85*VLOOKUP('Perpetual Pricing'!$J$1,XE!$A:$F,6,FALSE)*VLOOKUP('Perpetual Pricing'!$J$1,XE!$A:$L,12,FALSE)*(HLOOKUP($J$3,PARTNERPROGRAM!$D$7:$H$9,3,FALSE)),VLOOKUP('Perpetual Pricing'!$J$1,XE!$A:$H,8,FALSE)),VLOOKUP('Perpetual Pricing'!J$1,XE!$A:$G,7,FALSE))</f>
        <v>39,8100</v>
      </c>
      <c r="E98" s="42" t="str">
        <f>CONCATENATE(LEFT(BASE!E98,6),VLOOKUP('Perpetual Pricing'!$J$1,XE!$A:$C,3,FALSE),RIGHT(BASE!E98,9))</f>
        <v>KXDW00EUPC0100ZZB</v>
      </c>
      <c r="F98" s="271"/>
      <c r="G98" s="271"/>
      <c r="H98" s="271"/>
      <c r="I98" s="271"/>
      <c r="J98" s="271"/>
      <c r="K98" s="271"/>
    </row>
    <row r="99" spans="1:11">
      <c r="A99" s="43" t="s">
        <v>145</v>
      </c>
      <c r="B99" s="269" t="s">
        <v>33</v>
      </c>
      <c r="C99" s="269"/>
      <c r="D99" s="85" t="str">
        <f>TEXT(ROUND(BASE!D86*VLOOKUP('Perpetual Pricing'!$J$1,XE!$A:$F,6,FALSE)*VLOOKUP('Perpetual Pricing'!$J$1,XE!$A:$L,12,FALSE)*(HLOOKUP($J$3,PARTNERPROGRAM!$D$7:$H$9,3,FALSE)),VLOOKUP('Perpetual Pricing'!$J$1,XE!$A:$H,8,FALSE)),VLOOKUP('Perpetual Pricing'!J$1,XE!$A:$G,7,FALSE))</f>
        <v>32,3400</v>
      </c>
      <c r="E99" s="42" t="str">
        <f>CONCATENATE(LEFT(BASE!E99,6),VLOOKUP('Perpetual Pricing'!$J$1,XE!$A:$C,3,FALSE),RIGHT(BASE!E99,9))</f>
        <v>KXDW00EUPC0100ZZC</v>
      </c>
      <c r="F99" s="271"/>
      <c r="G99" s="271"/>
      <c r="H99" s="271"/>
      <c r="I99" s="271"/>
      <c r="J99" s="271"/>
      <c r="K99" s="271"/>
    </row>
    <row r="100" spans="1:11">
      <c r="A100" s="44" t="str">
        <f>HLOOKUP($U$1,Phrasing!A:A,4,FALSE)</f>
        <v>* For higher volume sales, please contact StorageCraft.</v>
      </c>
      <c r="B100" s="57"/>
      <c r="C100" s="57"/>
      <c r="D100" s="87"/>
      <c r="E100" s="88"/>
      <c r="F100" s="48"/>
      <c r="G100" s="48"/>
      <c r="H100" s="48"/>
      <c r="I100" s="48"/>
      <c r="J100" s="48"/>
      <c r="K100" s="48"/>
    </row>
    <row r="101" spans="1:11">
      <c r="A101" s="44" t="s">
        <v>90</v>
      </c>
      <c r="B101" s="57"/>
      <c r="C101" s="58"/>
      <c r="D101" s="46"/>
      <c r="E101" s="60"/>
      <c r="F101" s="71"/>
      <c r="G101" s="71"/>
      <c r="H101" s="71"/>
      <c r="I101" s="71"/>
      <c r="J101" s="71"/>
      <c r="K101" s="71"/>
    </row>
    <row r="102" spans="1:11">
      <c r="A102" s="44" t="str">
        <f>IF(OR('Perpetual Pricing'!$J$1="US-USD", 'Perpetual Pricing'!$J$1="Canada-CAD",'Perpetual Pricing'!$J$1="Canada-French-CAD"),"","")</f>
        <v/>
      </c>
      <c r="B102" s="57"/>
      <c r="C102" s="58"/>
      <c r="D102" s="46"/>
      <c r="E102" s="60"/>
      <c r="F102" s="71"/>
      <c r="G102" s="71"/>
      <c r="H102" s="71"/>
      <c r="I102" s="71"/>
      <c r="J102" s="71"/>
      <c r="K102" s="71"/>
    </row>
    <row r="103" spans="1:11">
      <c r="A103" s="44"/>
      <c r="B103" s="57"/>
      <c r="C103" s="58"/>
      <c r="D103" s="46"/>
      <c r="E103" s="60"/>
      <c r="F103" s="71"/>
      <c r="G103" s="71"/>
      <c r="H103" s="71"/>
      <c r="I103" s="71"/>
      <c r="J103" s="71"/>
      <c r="K103" s="71"/>
    </row>
    <row r="104" spans="1:11" ht="20.25">
      <c r="A104" s="215" t="s">
        <v>520</v>
      </c>
      <c r="B104" s="34"/>
      <c r="C104" s="34"/>
      <c r="D104" s="34"/>
      <c r="E104" s="9"/>
      <c r="F104" s="1"/>
      <c r="G104" s="9"/>
      <c r="H104" s="1"/>
      <c r="I104" s="9"/>
      <c r="J104" s="1"/>
      <c r="K104" s="13"/>
    </row>
    <row r="105" spans="1:11" ht="15.75" customHeight="1">
      <c r="A105" s="253" t="str">
        <f>HLOOKUP($U$1,Phrasing!A:A,20,FALSE)</f>
        <v>First year of maintenance is included in the purchase price.  *Premium Support requires an active Maintenance Agreement.</v>
      </c>
      <c r="B105" s="253"/>
      <c r="C105" s="254"/>
      <c r="D105" s="259" t="str">
        <f>CONCATENATE(IF('Perpetual Pricing'!$J$2="Standard",HLOOKUP($U$1,Phrasing!A:A,48,FALSE),IF('Perpetual Pricing'!$J$2="Gov/Edu/NonProfit",HLOOKUP($U$1,Phrasing!A:A,49,FALSE),"???"))," - ",$J$3,, " - ",VLOOKUP($J$3,PARTNERPROGRAM!$U$5:$V$9,2,FALSE))</f>
        <v>Standard Pricing - Non Partner - SRP</v>
      </c>
      <c r="E105" s="259"/>
      <c r="F105" s="259"/>
      <c r="G105" s="259"/>
      <c r="H105" s="260"/>
      <c r="I105" s="260"/>
      <c r="J105" s="259"/>
      <c r="K105" s="259"/>
    </row>
    <row r="106" spans="1:11" ht="12.75" customHeight="1">
      <c r="A106" s="253"/>
      <c r="B106" s="253"/>
      <c r="C106" s="254"/>
      <c r="D106" s="235" t="str">
        <f>HLOOKUP($U$1,Phrasing!A:A,40,FALSE)</f>
        <v>New</v>
      </c>
      <c r="E106" s="236"/>
      <c r="F106" s="237" t="str">
        <f>HLOOKUP($U$1,Phrasing!A:A,158,FALSE)</f>
        <v>Upgrade</v>
      </c>
      <c r="G106" s="238"/>
      <c r="H106" s="230" t="str">
        <f>HLOOKUP($U$1,Phrasing!A:A,170,FALSE)</f>
        <v>1Yr Maintenance</v>
      </c>
      <c r="I106" s="231"/>
      <c r="J106" s="239" t="str">
        <f>HLOOKUP($U$1,Phrasing!A:A,45,FALSE)</f>
        <v>Premium Support</v>
      </c>
      <c r="K106" s="240"/>
    </row>
    <row r="107" spans="1:11">
      <c r="A107" s="255"/>
      <c r="B107" s="255"/>
      <c r="C107" s="256"/>
      <c r="D107" s="243" t="str">
        <f>HLOOKUP($U$1,Phrasing!A:A,23,FALSE)</f>
        <v>Includes one year of Maintenance</v>
      </c>
      <c r="E107" s="244"/>
      <c r="F107" s="245" t="str">
        <f>HLOOKUP($U$1,Phrasing!A:A,23,FALSE)</f>
        <v>Includes one year of Maintenance</v>
      </c>
      <c r="G107" s="246"/>
      <c r="H107" s="228" t="str">
        <f>HLOOKUP($U$1,Phrasing!A:A,171,FALSE)</f>
        <v>Renewal</v>
      </c>
      <c r="I107" s="229"/>
      <c r="J107" s="241"/>
      <c r="K107" s="242"/>
    </row>
    <row r="108" spans="1:11">
      <c r="A108" s="37"/>
      <c r="B108" s="37"/>
      <c r="C108" s="37"/>
      <c r="D108" s="100" t="str">
        <f>CONCATENATE(HLOOKUP($U$1,Phrasing!A:A,46,FALSE),": ",VLOOKUP('Perpetual Pricing'!$J$1,XE!$A:$B,2,FALSE))</f>
        <v>Price: EUR</v>
      </c>
      <c r="E108" s="75" t="str">
        <f>HLOOKUP($U$1,Phrasing!A:A,43,FALSE)</f>
        <v>Part Number</v>
      </c>
      <c r="F108" s="100" t="str">
        <f>CONCATENATE(HLOOKUP($U$1,Phrasing!A:A,46,FALSE),": ",VLOOKUP('Perpetual Pricing'!$J$1,XE!$A:$B,2,FALSE))</f>
        <v>Price: EUR</v>
      </c>
      <c r="G108" s="75" t="str">
        <f>HLOOKUP($U$1,Phrasing!A:A,43,FALSE)</f>
        <v>Part Number</v>
      </c>
      <c r="H108" s="100" t="str">
        <f>CONCATENATE(HLOOKUP($U$1,Phrasing!A:A,46,FALSE),": ",VLOOKUP('Perpetual Pricing'!$J$1,XE!$A:$B,2,FALSE))</f>
        <v>Price: EUR</v>
      </c>
      <c r="I108" s="72" t="str">
        <f>HLOOKUP($U$1,Phrasing!A:A,43,FALSE)</f>
        <v>Part Number</v>
      </c>
      <c r="J108" s="100" t="str">
        <f>CONCATENATE(HLOOKUP($U$1,Phrasing!A:A,46,FALSE),": ",VLOOKUP('Perpetual Pricing'!$J$1,XE!$A:$B,2,FALSE))</f>
        <v>Price: EUR</v>
      </c>
      <c r="K108" s="72" t="str">
        <f>HLOOKUP($U$1,Phrasing!A:A,43,FALSE)</f>
        <v>Part Number</v>
      </c>
    </row>
    <row r="109" spans="1:11">
      <c r="A109" s="257" t="s">
        <v>280</v>
      </c>
      <c r="B109" s="257"/>
      <c r="C109" s="257"/>
      <c r="D109" s="85" t="str">
        <f>TEXT(ROUND(VLOOKUP('Perpetual Pricing'!$J$2,XE!$M$5:$N$6,2,FALSE)*BASE!D109*VLOOKUP('Perpetual Pricing'!$J$1,XE!$A:$F,6,FALSE)* (HLOOKUP($J$3,PARTNERPROGRAM!$D$7:$H$8,2,FALSE)),VLOOKUP('Perpetual Pricing'!$J$1,XE!$A:$H,8,FALSE)),VLOOKUP('Perpetual Pricing'!$J$1,XE!$A:$G,7,FALSE))</f>
        <v>1274,3700</v>
      </c>
      <c r="E109" s="42" t="str">
        <f>CONCATENATE(LEFT(BASE!E109,6),VLOOKUP('Perpetual Pricing'!$J$1,XE!$A:$C,3,FALSE),MID(BASE!E109,9,1),IF('Perpetual Pricing'!$J$2="Standard","S","G"),RIGHT(BASE!E109,7))</f>
        <v>XESS00EUPS0100ZZZ</v>
      </c>
      <c r="F109" s="85" t="str">
        <f>TEXT(ROUND(VLOOKUP('Perpetual Pricing'!$J$2,XE!$M$5:$N$6,2,FALSE)*BASE!F109*VLOOKUP('Perpetual Pricing'!$J$1,XE!$A:$F,6,FALSE)* (HLOOKUP($J$3,PARTNERPROGRAM!$D$7:$H$8,2,FALSE)),VLOOKUP('Perpetual Pricing'!$J$1,XE!$A:$H,8,FALSE)),VLOOKUP('Perpetual Pricing'!$J$1,XE!$A:$G,7,FALSE))</f>
        <v>637,1800</v>
      </c>
      <c r="G109" s="42" t="str">
        <f>CONCATENATE(LEFT(BASE!G109,6),VLOOKUP('Perpetual Pricing'!$J$1,XE!$A:$C,3,FALSE),MID(BASE!G109,9,1),IF('Perpetual Pricing'!$J$2="Standard","S","G"),RIGHT(BASE!G109,7))</f>
        <v>XESS00EUUS0100ZZZ</v>
      </c>
      <c r="H109" s="85" t="str">
        <f>TEXT(ROUND(VLOOKUP('Perpetual Pricing'!$J$2,XE!$M$5:$N$6,2,FALSE)*BASE!H109*VLOOKUP('Perpetual Pricing'!$J$1,XE!$A:$F,6,FALSE)* (HLOOKUP($J$3,PARTNERPROGRAM!$D$7:$H$8,2,FALSE)),VLOOKUP('Perpetual Pricing'!$J$1,XE!$A:$H,8,FALSE)),VLOOKUP('Perpetual Pricing'!$J$1,XE!$A:$G,7,FALSE))</f>
        <v>254,8700</v>
      </c>
      <c r="I109" s="42" t="str">
        <f>CONCATENATE(LEFT(BASE!I109,6),VLOOKUP('Perpetual Pricing'!$J$1,XE!$A:$C,3,FALSE),MID(BASE!I109,9,1),IF('Perpetual Pricing'!$J$2="Standard","S","G"),RIGHT(BASE!I109,7))</f>
        <v>XESS00EUMS011YZZZ</v>
      </c>
      <c r="J109" s="85" t="str">
        <f>TEXT(ROUND(VLOOKUP('Perpetual Pricing'!$J$2,XE!$M$5:$N$6,2,FALSE)*BASE!J109*VLOOKUP('Perpetual Pricing'!$J$1,XE!$A:$F,6,FALSE)* (HLOOKUP($J$3,PARTNERPROGRAM!$D$7:$H$8,2,FALSE)),VLOOKUP('Perpetual Pricing'!$J$1,XE!$A:$H,8,FALSE)),VLOOKUP('Perpetual Pricing'!$J$1,XE!$A:$G,7,FALSE))</f>
        <v>191,1600</v>
      </c>
      <c r="K109" s="42" t="str">
        <f>CONCATENATE(LEFT(BASE!K109,6),VLOOKUP('Perpetual Pricing'!$J$1,XE!$A:$C,3,FALSE),MID(BASE!K109,9,1),IF('Perpetual Pricing'!$J$2="Standard","S","G"),RIGHT(BASE!K109,7))</f>
        <v>XESS00EUSS011YZZZ</v>
      </c>
    </row>
    <row r="110" spans="1:11">
      <c r="A110" s="257" t="s">
        <v>285</v>
      </c>
      <c r="B110" s="257"/>
      <c r="C110" s="257"/>
      <c r="D110" s="85" t="str">
        <f>TEXT(ROUND(VLOOKUP('Perpetual Pricing'!$J$2,XE!$M$5:$N$6,2,FALSE)*BASE!D110*VLOOKUP('Perpetual Pricing'!$J$1,XE!$A:$F,6,FALSE)* (HLOOKUP($J$3,PARTNERPROGRAM!$D$7:$H$8,2,FALSE)),VLOOKUP('Perpetual Pricing'!$J$1,XE!$A:$H,8,FALSE)),VLOOKUP('Perpetual Pricing'!$J$1,XE!$A:$G,7,FALSE))</f>
        <v>1354,2700</v>
      </c>
      <c r="E110" s="42" t="str">
        <f>CONCATENATE(LEFT(BASE!E110,6),VLOOKUP('Perpetual Pricing'!$J$1,XE!$A:$C,3,FALSE),MID(BASE!E110,9,1),IF('Perpetual Pricing'!$J$2="Standard","S","G"),RIGHT(BASE!E110,7))</f>
        <v>XSTD00EUPS0100ZZZ</v>
      </c>
      <c r="F110" s="85" t="str">
        <f>TEXT(ROUND(VLOOKUP('Perpetual Pricing'!$J$2,XE!$M$5:$N$6,2,FALSE)*BASE!F110*VLOOKUP('Perpetual Pricing'!$J$1,XE!$A:$F,6,FALSE)* (HLOOKUP($J$3,PARTNERPROGRAM!$D$7:$H$8,2,FALSE)),VLOOKUP('Perpetual Pricing'!$J$1,XE!$A:$H,8,FALSE)),VLOOKUP('Perpetual Pricing'!$J$1,XE!$A:$G,7,FALSE))</f>
        <v>677,1300</v>
      </c>
      <c r="G110" s="42" t="str">
        <f>CONCATENATE(LEFT(BASE!G110,6),VLOOKUP('Perpetual Pricing'!$J$1,XE!$A:$C,3,FALSE),MID(BASE!G110,9,1),IF('Perpetual Pricing'!$J$2="Standard","S","G"),RIGHT(BASE!G110,7))</f>
        <v>XSTD00EUUS0100ZZZ</v>
      </c>
      <c r="H110" s="85" t="str">
        <f>TEXT(ROUND(VLOOKUP('Perpetual Pricing'!$J$2,XE!$M$5:$N$6,2,FALSE)*BASE!H110*VLOOKUP('Perpetual Pricing'!$J$1,XE!$A:$F,6,FALSE)* (HLOOKUP($J$3,PARTNERPROGRAM!$D$7:$H$8,2,FALSE)),VLOOKUP('Perpetual Pricing'!$J$1,XE!$A:$H,8,FALSE)),VLOOKUP('Perpetual Pricing'!$J$1,XE!$A:$G,7,FALSE))</f>
        <v>270,8500</v>
      </c>
      <c r="I110" s="42" t="str">
        <f>CONCATENATE(LEFT(BASE!I110,6),VLOOKUP('Perpetual Pricing'!$J$1,XE!$A:$C,3,FALSE),MID(BASE!I110,9,1),IF('Perpetual Pricing'!$J$2="Standard","S","G"),RIGHT(BASE!I110,7))</f>
        <v>XSTD00EUMS011YZZZ</v>
      </c>
      <c r="J110" s="85" t="str">
        <f>TEXT(ROUND(VLOOKUP('Perpetual Pricing'!$J$2,XE!$M$5:$N$6,2,FALSE)*BASE!J110*VLOOKUP('Perpetual Pricing'!$J$1,XE!$A:$F,6,FALSE)* (HLOOKUP($J$3,PARTNERPROGRAM!$D$7:$H$8,2,FALSE)),VLOOKUP('Perpetual Pricing'!$J$1,XE!$A:$H,8,FALSE)),VLOOKUP('Perpetual Pricing'!$J$1,XE!$A:$G,7,FALSE))</f>
        <v>203,1400</v>
      </c>
      <c r="K110" s="42" t="str">
        <f>CONCATENATE(LEFT(BASE!K110,6),VLOOKUP('Perpetual Pricing'!$J$1,XE!$A:$C,3,FALSE),MID(BASE!K110,9,1),IF('Perpetual Pricing'!$J$2="Standard","S","G"),RIGHT(BASE!K110,7))</f>
        <v>XSTD00EUSS011YZZZ</v>
      </c>
    </row>
    <row r="111" spans="1:11">
      <c r="A111" s="272" t="s">
        <v>290</v>
      </c>
      <c r="B111" s="272"/>
      <c r="C111" s="272"/>
      <c r="D111" s="85" t="str">
        <f>TEXT(ROUND(VLOOKUP('Perpetual Pricing'!$J$2,XE!$M$5:$N$6,2,FALSE)*BASE!D111*VLOOKUP('Perpetual Pricing'!$J$1,XE!$A:$F,6,FALSE)* (HLOOKUP($J$3,PARTNERPROGRAM!$D$7:$H$8,2,FALSE)),VLOOKUP('Perpetual Pricing'!$J$1,XE!$A:$H,8,FALSE)),VLOOKUP('Perpetual Pricing'!$J$1,XE!$A:$G,7,FALSE))</f>
        <v>4302,4900</v>
      </c>
      <c r="E111" s="42" t="str">
        <f>CONCATENATE(LEFT(BASE!E111,6),VLOOKUP('Perpetual Pricing'!$J$1,XE!$A:$C,3,FALSE),MID(BASE!E111,9,1),IF('Perpetual Pricing'!$J$2="Standard","S","G"),RIGHT(BASE!E111,7))</f>
        <v>XEUM00EUUS0100ZPZ</v>
      </c>
      <c r="F111" s="271" t="s">
        <v>40</v>
      </c>
      <c r="G111" s="271"/>
      <c r="H111" s="271" t="s">
        <v>40</v>
      </c>
      <c r="I111" s="271"/>
      <c r="J111" s="271" t="s">
        <v>40</v>
      </c>
      <c r="K111" s="271"/>
    </row>
    <row r="112" spans="1:11">
      <c r="A112" s="44" t="s">
        <v>292</v>
      </c>
      <c r="B112" s="78"/>
      <c r="C112" s="78"/>
      <c r="D112" s="79"/>
      <c r="E112" s="80"/>
      <c r="F112" s="46"/>
      <c r="G112" s="80"/>
      <c r="H112" s="46"/>
      <c r="I112" s="80"/>
      <c r="J112" s="46"/>
      <c r="K112" s="80"/>
    </row>
    <row r="113" spans="1:11">
      <c r="A113" s="44" t="s">
        <v>293</v>
      </c>
      <c r="B113" s="49"/>
      <c r="C113" s="50"/>
      <c r="D113" s="35"/>
      <c r="E113" s="36"/>
      <c r="F113" s="74"/>
      <c r="G113" s="74"/>
      <c r="H113" s="74"/>
      <c r="I113" s="74"/>
      <c r="J113" s="74"/>
      <c r="K113" s="74"/>
    </row>
    <row r="114" spans="1:11">
      <c r="A114" s="44" t="s">
        <v>294</v>
      </c>
      <c r="B114" s="74"/>
      <c r="C114" s="74"/>
      <c r="D114" s="74"/>
      <c r="E114" s="74"/>
      <c r="F114" s="74"/>
      <c r="G114" s="74"/>
      <c r="H114" s="74"/>
      <c r="I114" s="74"/>
      <c r="J114" s="74"/>
      <c r="K114" s="74"/>
    </row>
    <row r="115" spans="1:11">
      <c r="A115" s="14"/>
      <c r="B115" s="10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ht="20.25">
      <c r="A116" s="215" t="s">
        <v>279</v>
      </c>
      <c r="B116" s="19"/>
      <c r="C116" s="19"/>
      <c r="D116" s="1"/>
      <c r="E116" s="9"/>
      <c r="F116" s="1"/>
      <c r="G116" s="9"/>
      <c r="H116" s="1"/>
      <c r="I116" s="9"/>
      <c r="J116" s="1"/>
      <c r="K116" s="13"/>
    </row>
    <row r="117" spans="1:11" ht="20.25">
      <c r="A117" s="215" t="s">
        <v>79</v>
      </c>
      <c r="B117" s="19"/>
      <c r="C117" s="19"/>
      <c r="D117" s="1"/>
      <c r="E117" s="9"/>
      <c r="F117" s="1"/>
      <c r="G117" s="9"/>
      <c r="H117" s="1"/>
      <c r="I117" s="9"/>
      <c r="J117" s="1"/>
      <c r="K117" s="13"/>
    </row>
    <row r="118" spans="1:11" ht="15.75" customHeight="1">
      <c r="A118" s="253" t="str">
        <f>HLOOKUP($U$1,Phrasing!A:A,20,FALSE)</f>
        <v>First year of maintenance is included in the purchase price.  *Premium Support requires an active Maintenance Agreement.</v>
      </c>
      <c r="B118" s="253"/>
      <c r="C118" s="254"/>
      <c r="D118" s="259" t="str">
        <f>CONCATENATE(IF('Perpetual Pricing'!$J$2="Standard",HLOOKUP($U$1,Phrasing!A:A,48,FALSE),IF('Perpetual Pricing'!$J$2="Gov/Edu/NonProfit",HLOOKUP($U$1,Phrasing!A:A,49,FALSE),"???"))," - ",$J$3,, " - ",VLOOKUP($J$3,PARTNERPROGRAM!$U$5:$V$9,2,FALSE))</f>
        <v>Standard Pricing - Non Partner - SRP</v>
      </c>
      <c r="E118" s="259"/>
      <c r="F118" s="259"/>
      <c r="G118" s="259"/>
      <c r="H118" s="260"/>
      <c r="I118" s="260"/>
      <c r="J118" s="259"/>
      <c r="K118" s="259"/>
    </row>
    <row r="119" spans="1:11" ht="12.75" customHeight="1">
      <c r="A119" s="253"/>
      <c r="B119" s="253"/>
      <c r="C119" s="254"/>
      <c r="D119" s="235" t="str">
        <f>HLOOKUP($U$1,Phrasing!A:A,40,FALSE)</f>
        <v>New</v>
      </c>
      <c r="E119" s="236"/>
      <c r="F119" s="237" t="str">
        <f>HLOOKUP($U$1,Phrasing!A:A,158,FALSE)</f>
        <v>Upgrade</v>
      </c>
      <c r="G119" s="238"/>
      <c r="H119" s="230" t="str">
        <f>HLOOKUP($U$1,Phrasing!A:A,170,FALSE)</f>
        <v>1Yr Maintenance</v>
      </c>
      <c r="I119" s="231"/>
      <c r="J119" s="239" t="str">
        <f>HLOOKUP($U$1,Phrasing!A:A,45,FALSE)</f>
        <v>Premium Support</v>
      </c>
      <c r="K119" s="240"/>
    </row>
    <row r="120" spans="1:11">
      <c r="A120" s="255"/>
      <c r="B120" s="255"/>
      <c r="C120" s="256"/>
      <c r="D120" s="243" t="str">
        <f>HLOOKUP($U$1,Phrasing!A:A,23,FALSE)</f>
        <v>Includes one year of Maintenance</v>
      </c>
      <c r="E120" s="244"/>
      <c r="F120" s="245" t="str">
        <f>HLOOKUP($U$1,Phrasing!A:A,23,FALSE)</f>
        <v>Includes one year of Maintenance</v>
      </c>
      <c r="G120" s="246"/>
      <c r="H120" s="228" t="str">
        <f>HLOOKUP($U$1,Phrasing!A:A,171,FALSE)</f>
        <v>Renewal</v>
      </c>
      <c r="I120" s="229"/>
      <c r="J120" s="241"/>
      <c r="K120" s="242"/>
    </row>
    <row r="121" spans="1:11">
      <c r="A121" s="37"/>
      <c r="B121" s="37"/>
      <c r="C121" s="37"/>
      <c r="D121" s="100" t="str">
        <f>CONCATENATE(HLOOKUP($U$1,Phrasing!A:A,46,FALSE),": ",VLOOKUP('Perpetual Pricing'!$J$1,XE!$A:$B,2,FALSE))</f>
        <v>Price: EUR</v>
      </c>
      <c r="E121" s="75" t="str">
        <f>HLOOKUP($U$1,Phrasing!A:A,43,FALSE)</f>
        <v>Part Number</v>
      </c>
      <c r="F121" s="100" t="s">
        <v>12</v>
      </c>
      <c r="G121" s="75" t="str">
        <f>HLOOKUP($U$1,Phrasing!A:A,43,FALSE)</f>
        <v>Part Number</v>
      </c>
      <c r="H121" s="99" t="s">
        <v>12</v>
      </c>
      <c r="I121" s="72" t="str">
        <f>HLOOKUP($U$1,Phrasing!A:A,43,FALSE)</f>
        <v>Part Number</v>
      </c>
      <c r="J121" s="99" t="s">
        <v>12</v>
      </c>
      <c r="K121" s="72" t="str">
        <f>HLOOKUP($U$1,Phrasing!A:A,43,FALSE)</f>
        <v>Part Number</v>
      </c>
    </row>
    <row r="122" spans="1:11">
      <c r="A122" s="257" t="s">
        <v>280</v>
      </c>
      <c r="B122" s="257"/>
      <c r="C122" s="257"/>
      <c r="D122" s="85" t="str">
        <f>TEXT(ROUND(BASE!D109*VLOOKUP('Perpetual Pricing'!$J$1,XE!$A:$F,6,FALSE)*VLOOKUP('Perpetual Pricing'!$J$1,XE!$A:$L,12,FALSE)*(HLOOKUP($J$3,PARTNERPROGRAM!$D$7:$H$9,3,FALSE)),VLOOKUP('Perpetual Pricing'!$J$1,XE!$A:$H,8,FALSE)),VLOOKUP('Perpetual Pricing'!J$1,XE!$A:$G,7,FALSE))</f>
        <v>828,3400</v>
      </c>
      <c r="E122" s="42" t="str">
        <f>CONCATENATE(LEFT(BASE!E122,6),VLOOKUP('Perpetual Pricing'!$J$1,XE!$A:$C,3,FALSE),RIGHT(BASE!E122,9))</f>
        <v>XESS00EUPC0100ZZZ</v>
      </c>
      <c r="F122" s="273" t="s">
        <v>84</v>
      </c>
      <c r="G122" s="274"/>
      <c r="H122" s="270" t="s">
        <v>85</v>
      </c>
      <c r="I122" s="271"/>
      <c r="J122" s="270" t="s">
        <v>86</v>
      </c>
      <c r="K122" s="271"/>
    </row>
    <row r="123" spans="1:11">
      <c r="A123" s="257" t="s">
        <v>285</v>
      </c>
      <c r="B123" s="257"/>
      <c r="C123" s="257"/>
      <c r="D123" s="85" t="str">
        <f>TEXT(ROUND(BASE!D110*VLOOKUP('Perpetual Pricing'!$J$1,XE!$A:$F,6,FALSE)*VLOOKUP('Perpetual Pricing'!$J$1,XE!$A:$L,12,FALSE)*(HLOOKUP($J$3,PARTNERPROGRAM!$D$7:$H$9,3,FALSE)),VLOOKUP('Perpetual Pricing'!$J$1,XE!$A:$H,8,FALSE)),VLOOKUP('Perpetual Pricing'!J$1,XE!$A:$G,7,FALSE))</f>
        <v>880,2700</v>
      </c>
      <c r="E123" s="42" t="str">
        <f>CONCATENATE(LEFT(BASE!E123,6),VLOOKUP('Perpetual Pricing'!$J$1,XE!$A:$C,3,FALSE),RIGHT(BASE!E123,9))</f>
        <v>XSTD00EUPC0100ZZZ</v>
      </c>
      <c r="F123" s="271"/>
      <c r="G123" s="271"/>
      <c r="H123" s="271"/>
      <c r="I123" s="271"/>
      <c r="J123" s="271"/>
      <c r="K123" s="271"/>
    </row>
    <row r="124" spans="1:11">
      <c r="A124" s="44" t="s">
        <v>292</v>
      </c>
      <c r="B124" s="78"/>
      <c r="C124" s="78"/>
      <c r="D124" s="79"/>
      <c r="E124" s="80"/>
      <c r="F124" s="46"/>
      <c r="G124" s="80"/>
      <c r="H124" s="46"/>
      <c r="I124" s="80"/>
      <c r="J124" s="46"/>
      <c r="K124" s="80"/>
    </row>
    <row r="125" spans="1:11">
      <c r="A125" s="44" t="s">
        <v>293</v>
      </c>
      <c r="B125" s="49"/>
      <c r="C125" s="50"/>
      <c r="D125" s="35"/>
      <c r="E125" s="36"/>
      <c r="F125" s="74"/>
      <c r="G125" s="74"/>
      <c r="H125" s="74"/>
      <c r="I125" s="74"/>
      <c r="J125" s="74"/>
      <c r="K125" s="74"/>
    </row>
    <row r="126" spans="1:11">
      <c r="A126" s="44" t="str">
        <f>IF(OR('Perpetual Pricing'!$J$1="US-USD", 'Perpetual Pricing'!$J$1="Canada-CAD",'Perpetual Pricing'!$J$1="Canada-French-CAD"),"","")</f>
        <v/>
      </c>
      <c r="B126" s="10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>
      <c r="A127" s="14"/>
      <c r="B127" s="10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 ht="20.25">
      <c r="A128" s="215" t="s">
        <v>518</v>
      </c>
      <c r="B128" s="19"/>
      <c r="C128" s="19"/>
      <c r="D128" s="1"/>
      <c r="E128" s="9"/>
      <c r="F128" s="1"/>
      <c r="G128" s="9"/>
      <c r="H128" s="1"/>
      <c r="I128" s="9"/>
      <c r="J128" s="1"/>
      <c r="K128" s="13"/>
    </row>
    <row r="129" spans="1:11" ht="15.75" customHeight="1">
      <c r="A129" s="253" t="s">
        <v>2</v>
      </c>
      <c r="B129" s="253"/>
      <c r="C129" s="254"/>
      <c r="D129" s="259" t="str">
        <f>CONCATENATE(IF('Perpetual Pricing'!$J$2="Standard",HLOOKUP($U$1,Phrasing!A:A,48,FALSE),IF('Perpetual Pricing'!$J$2="Gov/Edu/NonProfit",HLOOKUP($U$1,Phrasing!A:A,49,FALSE),"???"))," - ",$J$3,, " - ",VLOOKUP($J$3,PARTNERPROGRAM!$U$5:$V$9,2,FALSE))</f>
        <v>Standard Pricing - Non Partner - SRP</v>
      </c>
      <c r="E129" s="259"/>
      <c r="F129" s="259"/>
      <c r="G129" s="259"/>
      <c r="H129" s="260"/>
      <c r="I129" s="260"/>
      <c r="J129" s="259"/>
      <c r="K129" s="259"/>
    </row>
    <row r="130" spans="1:11" ht="12.75" customHeight="1">
      <c r="A130" s="253"/>
      <c r="B130" s="253"/>
      <c r="C130" s="254"/>
      <c r="D130" s="235" t="str">
        <f>HLOOKUP($U$1,Phrasing!A:A,40,FALSE)</f>
        <v>New</v>
      </c>
      <c r="E130" s="236"/>
      <c r="F130" s="237" t="str">
        <f>HLOOKUP($U$1,Phrasing!A:A,158,FALSE)</f>
        <v>Upgrade</v>
      </c>
      <c r="G130" s="238"/>
      <c r="H130" s="230" t="str">
        <f>HLOOKUP($U$1,Phrasing!A:A,170,FALSE)</f>
        <v>1Yr Maintenance</v>
      </c>
      <c r="I130" s="231"/>
      <c r="J130" s="239" t="str">
        <f>HLOOKUP($U$1,Phrasing!A:A,45,FALSE)</f>
        <v>Premium Support</v>
      </c>
      <c r="K130" s="240"/>
    </row>
    <row r="131" spans="1:11">
      <c r="A131" s="253"/>
      <c r="B131" s="253"/>
      <c r="C131" s="254"/>
      <c r="D131" s="243" t="str">
        <f>HLOOKUP($U$1,Phrasing!A:A,23,FALSE)</f>
        <v>Includes one year of Maintenance</v>
      </c>
      <c r="E131" s="244"/>
      <c r="F131" s="245" t="str">
        <f>HLOOKUP($U$1,Phrasing!A:A,23,FALSE)</f>
        <v>Includes one year of Maintenance</v>
      </c>
      <c r="G131" s="246"/>
      <c r="H131" s="228" t="str">
        <f>HLOOKUP($U$1,Phrasing!A:A,171,FALSE)</f>
        <v>Renewal</v>
      </c>
      <c r="I131" s="229"/>
      <c r="J131" s="241"/>
      <c r="K131" s="242"/>
    </row>
    <row r="132" spans="1:11">
      <c r="A132" s="255"/>
      <c r="B132" s="255"/>
      <c r="C132" s="256"/>
      <c r="D132" s="100" t="str">
        <f>CONCATENATE(HLOOKUP($U$1,Phrasing!A:A,46,FALSE),": ",VLOOKUP('Perpetual Pricing'!$J$1,XE!$A:$B,2,FALSE))</f>
        <v>Price: EUR</v>
      </c>
      <c r="E132" s="75" t="str">
        <f>HLOOKUP($U$1,Phrasing!A:A,43,FALSE)</f>
        <v>Part Number</v>
      </c>
      <c r="F132" s="100" t="str">
        <f>CONCATENATE(HLOOKUP($U$1,Phrasing!A:A,46,FALSE),": ",VLOOKUP('Perpetual Pricing'!$J$1,XE!$A:$B,2,FALSE))</f>
        <v>Price: EUR</v>
      </c>
      <c r="G132" s="75" t="str">
        <f>HLOOKUP($U$1,Phrasing!A:A,43,FALSE)</f>
        <v>Part Number</v>
      </c>
      <c r="H132" s="100" t="str">
        <f>CONCATENATE(HLOOKUP($U$1,Phrasing!A:A,46,FALSE),": ",VLOOKUP('Perpetual Pricing'!$J$1,XE!$A:$B,2,FALSE))</f>
        <v>Price: EUR</v>
      </c>
      <c r="I132" s="72" t="str">
        <f>HLOOKUP($U$1,Phrasing!A:A,43,FALSE)</f>
        <v>Part Number</v>
      </c>
      <c r="J132" s="100" t="str">
        <f>CONCATENATE(HLOOKUP($U$1,Phrasing!A:A,46,FALSE),": ",VLOOKUP('Perpetual Pricing'!$J$1,XE!$A:$B,2,FALSE))</f>
        <v>Price: EUR</v>
      </c>
      <c r="K132" s="72" t="str">
        <f>HLOOKUP($U$1,Phrasing!A:A,43,FALSE)</f>
        <v>Part Number</v>
      </c>
    </row>
    <row r="133" spans="1:11">
      <c r="A133" s="257" t="s">
        <v>298</v>
      </c>
      <c r="B133" s="257"/>
      <c r="C133" s="257"/>
      <c r="D133" s="85" t="str">
        <f>TEXT(ROUND(VLOOKUP('Perpetual Pricing'!$J$2,XE!$M$5:$N$6,2,FALSE)*BASE!D132*VLOOKUP('Perpetual Pricing'!$J$1,XE!$A:$F,6,FALSE)* (HLOOKUP($J$3,PARTNERPROGRAM!$D$7:$H$8,2,FALSE)),VLOOKUP('Perpetual Pricing'!$J$1,XE!$A:$H,8,FALSE)),VLOOKUP('Perpetual Pricing'!$J$1,XE!$A:$G,7,FALSE))</f>
        <v>315,600</v>
      </c>
      <c r="E133" s="42" t="str">
        <f>CONCATENATE(LEFT(BASE!E132,6),VLOOKUP('Perpetual Pricing'!$J$1,XE!$A:$C,3,FALSE),MID(BASE!E132,9,1),IF('Perpetual Pricing'!$J$2="Standard","S","G"),RIGHT(BASE!E132,7))</f>
        <v>XSVS00EUPS0100ZZZ</v>
      </c>
      <c r="F133" s="85" t="str">
        <f>TEXT(ROUND(VLOOKUP('Perpetual Pricing'!$J$2,XE!$M$5:$N$6,2,FALSE)*BASE!F132*VLOOKUP('Perpetual Pricing'!$J$1,XE!$A:$F,6,FALSE)* (HLOOKUP($J$3,PARTNERPROGRAM!$D$7:$H$8,2,FALSE)),VLOOKUP('Perpetual Pricing'!$J$1,XE!$A:$H,8,FALSE)),VLOOKUP('Perpetual Pricing'!$J$1,XE!$A:$G,7,FALSE))</f>
        <v>157,800</v>
      </c>
      <c r="G133" s="42" t="str">
        <f>CONCATENATE(LEFT(BASE!G132,6),VLOOKUP('Perpetual Pricing'!$J$1,XE!$A:$C,3,FALSE),MID(BASE!G132,9,1),IF('Perpetual Pricing'!$J$2="Standard","S","G"),RIGHT(BASE!G132,7))</f>
        <v>XSVS00EUUS0100ZZZ</v>
      </c>
      <c r="H133" s="85" t="str">
        <f>TEXT(ROUND(VLOOKUP('Perpetual Pricing'!$J$2,XE!$M$5:$N$6,2,FALSE)*BASE!H132*VLOOKUP('Perpetual Pricing'!$J$1,XE!$A:$F,6,FALSE)* (HLOOKUP($J$3,PARTNERPROGRAM!$D$7:$H$8,2,FALSE)),VLOOKUP('Perpetual Pricing'!$J$1,XE!$A:$H,8,FALSE)),VLOOKUP('Perpetual Pricing'!$J$1,XE!$A:$G,7,FALSE))</f>
        <v>63,1200</v>
      </c>
      <c r="I133" s="42" t="str">
        <f>CONCATENATE(LEFT(BASE!I132,6),VLOOKUP('Perpetual Pricing'!$J$1,XE!$A:$C,3,FALSE),MID(BASE!I132,9,1),IF('Perpetual Pricing'!$J$2="Standard","S","G"),RIGHT(BASE!I132,7))</f>
        <v>XSVS00EUMS011YZZZ</v>
      </c>
      <c r="J133" s="85" t="str">
        <f>TEXT(ROUND(VLOOKUP('Perpetual Pricing'!$J$2,XE!$M$5:$N$6,2,FALSE)*BASE!J132*VLOOKUP('Perpetual Pricing'!$J$1,XE!$A:$F,6,FALSE)* (HLOOKUP($J$3,PARTNERPROGRAM!$D$7:$H$8,2,FALSE)),VLOOKUP('Perpetual Pricing'!$J$1,XE!$A:$H,8,FALSE)),VLOOKUP('Perpetual Pricing'!$J$1,XE!$A:$G,7,FALSE))</f>
        <v>47,3400</v>
      </c>
      <c r="K133" s="42" t="str">
        <f>CONCATENATE(LEFT(BASE!K132,6),VLOOKUP('Perpetual Pricing'!$J$1,XE!$A:$C,3,FALSE),MID(BASE!K132,9,1),IF('Perpetual Pricing'!$J$2="Standard","S","G"),RIGHT(BASE!K132,7))</f>
        <v>XSVS00EUSS011YZZZ</v>
      </c>
    </row>
    <row r="134" spans="1:11">
      <c r="A134" s="257" t="s">
        <v>303</v>
      </c>
      <c r="B134" s="257"/>
      <c r="C134" s="257"/>
      <c r="D134" s="85" t="str">
        <f>TEXT(ROUND(VLOOKUP('Perpetual Pricing'!$J$2,XE!$M$5:$N$6,2,FALSE)*BASE!D133*VLOOKUP('Perpetual Pricing'!$J$1,XE!$A:$F,6,FALSE)* (HLOOKUP($J$3,PARTNERPROGRAM!$D$7:$H$8,2,FALSE)),VLOOKUP('Perpetual Pricing'!$J$1,XE!$A:$H,8,FALSE)),VLOOKUP('Perpetual Pricing'!$J$1,XE!$A:$G,7,FALSE))</f>
        <v>794,9800</v>
      </c>
      <c r="E134" s="42" t="str">
        <f>CONCATENATE(LEFT(BASE!E133,6),VLOOKUP('Perpetual Pricing'!$J$1,XE!$A:$C,3,FALSE),MID(BASE!E133,9,1),IF('Perpetual Pricing'!$J$2="Standard","S","G"),RIGHT(BASE!E133,7))</f>
        <v>XSVS00EUPS0300ZZZ</v>
      </c>
      <c r="F134" s="85" t="str">
        <f>TEXT(ROUND(VLOOKUP('Perpetual Pricing'!$J$2,XE!$M$5:$N$6,2,FALSE)*BASE!F133*VLOOKUP('Perpetual Pricing'!$J$1,XE!$A:$F,6,FALSE)* (HLOOKUP($J$3,PARTNERPROGRAM!$D$7:$H$8,2,FALSE)),VLOOKUP('Perpetual Pricing'!$J$1,XE!$A:$H,8,FALSE)),VLOOKUP('Perpetual Pricing'!$J$1,XE!$A:$G,7,FALSE))</f>
        <v>397,4900</v>
      </c>
      <c r="G134" s="42" t="str">
        <f>CONCATENATE(LEFT(BASE!G133,6),VLOOKUP('Perpetual Pricing'!$J$1,XE!$A:$C,3,FALSE),MID(BASE!G133,9,1),IF('Perpetual Pricing'!$J$2="Standard","S","G"),RIGHT(BASE!G133,7))</f>
        <v>XSVS00EUUS0300ZZZ</v>
      </c>
      <c r="H134" s="85" t="str">
        <f>TEXT(ROUND(VLOOKUP('Perpetual Pricing'!$J$2,XE!$M$5:$N$6,2,FALSE)*BASE!H133*VLOOKUP('Perpetual Pricing'!$J$1,XE!$A:$F,6,FALSE)* (HLOOKUP($J$3,PARTNERPROGRAM!$D$7:$H$8,2,FALSE)),VLOOKUP('Perpetual Pricing'!$J$1,XE!$A:$H,8,FALSE)),VLOOKUP('Perpetual Pricing'!$J$1,XE!$A:$G,7,FALSE))</f>
        <v>159,00</v>
      </c>
      <c r="I134" s="42" t="str">
        <f>CONCATENATE(LEFT(BASE!I133,6),VLOOKUP('Perpetual Pricing'!$J$1,XE!$A:$C,3,FALSE),MID(BASE!I133,9,1),IF('Perpetual Pricing'!$J$2="Standard","S","G"),RIGHT(BASE!I133,7))</f>
        <v>XSVS00EUMS031YZZZ</v>
      </c>
      <c r="J134" s="85" t="str">
        <f>TEXT(ROUND(VLOOKUP('Perpetual Pricing'!$J$2,XE!$M$5:$N$6,2,FALSE)*BASE!J133*VLOOKUP('Perpetual Pricing'!$J$1,XE!$A:$F,6,FALSE)* (HLOOKUP($J$3,PARTNERPROGRAM!$D$7:$H$8,2,FALSE)),VLOOKUP('Perpetual Pricing'!$J$1,XE!$A:$H,8,FALSE)),VLOOKUP('Perpetual Pricing'!$J$1,XE!$A:$G,7,FALSE))</f>
        <v>119,2500</v>
      </c>
      <c r="K134" s="42" t="str">
        <f>CONCATENATE(LEFT(BASE!K133,6),VLOOKUP('Perpetual Pricing'!$J$1,XE!$A:$C,3,FALSE),MID(BASE!K133,9,1),IF('Perpetual Pricing'!$J$2="Standard","S","G"),RIGHT(BASE!K133,7))</f>
        <v>XSVS00EUSS031YZZZ</v>
      </c>
    </row>
    <row r="135" spans="1:11">
      <c r="A135" s="257" t="s">
        <v>308</v>
      </c>
      <c r="B135" s="257"/>
      <c r="C135" s="257"/>
      <c r="D135" s="85" t="str">
        <f>TEXT(ROUND(VLOOKUP('Perpetual Pricing'!$J$2,XE!$M$5:$N$6,2,FALSE)*BASE!D134*VLOOKUP('Perpetual Pricing'!$J$1,XE!$A:$F,6,FALSE)* (HLOOKUP($J$3,PARTNERPROGRAM!$D$7:$H$8,2,FALSE)),VLOOKUP('Perpetual Pricing'!$J$1,XE!$A:$H,8,FALSE)),VLOOKUP('Perpetual Pricing'!$J$1,XE!$A:$G,7,FALSE))</f>
        <v>1913,5500</v>
      </c>
      <c r="E135" s="42" t="str">
        <f>CONCATENATE(LEFT(BASE!E134,6),VLOOKUP('Perpetual Pricing'!$J$1,XE!$A:$C,3,FALSE),MID(BASE!E134,9,1),IF('Perpetual Pricing'!$J$2="Standard","S","G"),RIGHT(BASE!E134,7))</f>
        <v>XSVS00EUPS1000ZZZ</v>
      </c>
      <c r="F135" s="85" t="str">
        <f>TEXT(ROUND(VLOOKUP('Perpetual Pricing'!$J$2,XE!$M$5:$N$6,2,FALSE)*BASE!F134*VLOOKUP('Perpetual Pricing'!$J$1,XE!$A:$F,6,FALSE)* (HLOOKUP($J$3,PARTNERPROGRAM!$D$7:$H$8,2,FALSE)),VLOOKUP('Perpetual Pricing'!$J$1,XE!$A:$H,8,FALSE)),VLOOKUP('Perpetual Pricing'!$J$1,XE!$A:$G,7,FALSE))</f>
        <v>956,7800</v>
      </c>
      <c r="G135" s="42" t="str">
        <f>CONCATENATE(LEFT(BASE!G134,6),VLOOKUP('Perpetual Pricing'!$J$1,XE!$A:$C,3,FALSE),MID(BASE!G134,9,1),IF('Perpetual Pricing'!$J$2="Standard","S","G"),RIGHT(BASE!G134,7))</f>
        <v>XSVS00EUUS1000ZZZ</v>
      </c>
      <c r="H135" s="85" t="str">
        <f>TEXT(ROUND(VLOOKUP('Perpetual Pricing'!$J$2,XE!$M$5:$N$6,2,FALSE)*BASE!H134*VLOOKUP('Perpetual Pricing'!$J$1,XE!$A:$F,6,FALSE)* (HLOOKUP($J$3,PARTNERPROGRAM!$D$7:$H$8,2,FALSE)),VLOOKUP('Perpetual Pricing'!$J$1,XE!$A:$H,8,FALSE)),VLOOKUP('Perpetual Pricing'!$J$1,XE!$A:$G,7,FALSE))</f>
        <v>382,7100</v>
      </c>
      <c r="I135" s="42" t="str">
        <f>CONCATENATE(LEFT(BASE!I134,6),VLOOKUP('Perpetual Pricing'!$J$1,XE!$A:$C,3,FALSE),MID(BASE!I134,9,1),IF('Perpetual Pricing'!$J$2="Standard","S","G"),RIGHT(BASE!I134,7))</f>
        <v>XSVS00EUMS101YZZZ</v>
      </c>
      <c r="J135" s="85" t="str">
        <f>TEXT(ROUND(VLOOKUP('Perpetual Pricing'!$J$2,XE!$M$5:$N$6,2,FALSE)*BASE!J134*VLOOKUP('Perpetual Pricing'!$J$1,XE!$A:$F,6,FALSE)* (HLOOKUP($J$3,PARTNERPROGRAM!$D$7:$H$8,2,FALSE)),VLOOKUP('Perpetual Pricing'!$J$1,XE!$A:$H,8,FALSE)),VLOOKUP('Perpetual Pricing'!$J$1,XE!$A:$G,7,FALSE))</f>
        <v>287,0300</v>
      </c>
      <c r="K135" s="42" t="str">
        <f>CONCATENATE(LEFT(BASE!K134,6),VLOOKUP('Perpetual Pricing'!$J$1,XE!$A:$C,3,FALSE),MID(BASE!K134,9,1),IF('Perpetual Pricing'!$J$2="Standard","S","G"),RIGHT(BASE!K134,7))</f>
        <v>XSVS00EUSS101YZZZ</v>
      </c>
    </row>
    <row r="136" spans="1:11">
      <c r="A136" s="257" t="s">
        <v>313</v>
      </c>
      <c r="B136" s="257"/>
      <c r="C136" s="257"/>
      <c r="D136" s="271" t="s">
        <v>314</v>
      </c>
      <c r="E136" s="271"/>
      <c r="F136" s="85" t="str">
        <f>TEXT(ROUND(VLOOKUP('Perpetual Pricing'!$J$2,XE!$M$5:$N$6,2,FALSE)*BASE!F135*VLOOKUP('Perpetual Pricing'!$J$1,XE!$A:$F,6,FALSE)* (HLOOKUP($J$3,PARTNERPROGRAM!$D$7:$H$8,2,FALSE)),VLOOKUP('Perpetual Pricing'!$J$1,XE!$A:$H,8,FALSE)),VLOOKUP('Perpetual Pricing'!$J$1,XE!$A:$G,7,FALSE))</f>
        <v>517,3400</v>
      </c>
      <c r="G136" s="42" t="str">
        <f>CONCATENATE(LEFT(BASE!G135,6),VLOOKUP('Perpetual Pricing'!$J$1,XE!$A:$C,3,FALSE),MID(BASE!G135,9,1),IF('Perpetual Pricing'!$J$2="Standard","S","G"),RIGHT(BASE!G135,7))</f>
        <v>XSVS00EUUS0600ZZZ</v>
      </c>
      <c r="H136" s="85" t="str">
        <f>TEXT(ROUND(VLOOKUP('Perpetual Pricing'!$J$2,XE!$M$5:$N$6,2,FALSE)*BASE!H135*VLOOKUP('Perpetual Pricing'!$J$1,XE!$A:$F,6,FALSE)* (HLOOKUP($J$3,PARTNERPROGRAM!$D$7:$H$8,2,FALSE)),VLOOKUP('Perpetual Pricing'!$J$1,XE!$A:$H,8,FALSE)),VLOOKUP('Perpetual Pricing'!$J$1,XE!$A:$G,7,FALSE))</f>
        <v>206,9400</v>
      </c>
      <c r="I136" s="42" t="str">
        <f>CONCATENATE(LEFT(BASE!I135,6),VLOOKUP('Perpetual Pricing'!$J$1,XE!$A:$C,3,FALSE),MID(BASE!I135,9,1),IF('Perpetual Pricing'!$J$2="Standard","S","G"),RIGHT(BASE!I135,7))</f>
        <v>XSVS00EUMS061YZZZ</v>
      </c>
      <c r="J136" s="85" t="str">
        <f>TEXT(ROUND(VLOOKUP('Perpetual Pricing'!$J$2,XE!$M$5:$N$6,2,FALSE)*BASE!J135*VLOOKUP('Perpetual Pricing'!$J$1,XE!$A:$F,6,FALSE)* (HLOOKUP($J$3,PARTNERPROGRAM!$D$7:$H$8,2,FALSE)),VLOOKUP('Perpetual Pricing'!$J$1,XE!$A:$H,8,FALSE)),VLOOKUP('Perpetual Pricing'!$J$1,XE!$A:$G,7,FALSE))</f>
        <v>155,200</v>
      </c>
      <c r="K136" s="42" t="str">
        <f>CONCATENATE(LEFT(BASE!K135,6),VLOOKUP('Perpetual Pricing'!$J$1,XE!$A:$C,3,FALSE),MID(BASE!K135,9,1),IF('Perpetual Pricing'!$J$2="Standard","S","G"),RIGHT(BASE!K135,7))</f>
        <v>XSVS00EUSS061YZZZ</v>
      </c>
    </row>
    <row r="137" spans="1:11">
      <c r="A137" s="257" t="s">
        <v>318</v>
      </c>
      <c r="B137" s="257"/>
      <c r="C137" s="257"/>
      <c r="D137" s="271"/>
      <c r="E137" s="271"/>
      <c r="F137" s="85" t="str">
        <f>TEXT(ROUND(VLOOKUP('Perpetual Pricing'!$J$2,XE!$M$5:$N$6,2,FALSE)*BASE!F136*VLOOKUP('Perpetual Pricing'!$J$1,XE!$A:$F,6,FALSE)* (HLOOKUP($J$3,PARTNERPROGRAM!$D$7:$H$8,2,FALSE)),VLOOKUP('Perpetual Pricing'!$J$1,XE!$A:$H,8,FALSE)),VLOOKUP('Perpetual Pricing'!$J$1,XE!$A:$G,7,FALSE))</f>
        <v>757,0300</v>
      </c>
      <c r="G137" s="42" t="str">
        <f>CONCATENATE(LEFT(BASE!G136,6),VLOOKUP('Perpetual Pricing'!$J$1,XE!$A:$C,3,FALSE),MID(BASE!G136,9,1),IF('Perpetual Pricing'!$J$2="Standard","S","G"),RIGHT(BASE!G136,7))</f>
        <v>XSVS00EUUS1200ZZZ</v>
      </c>
      <c r="H137" s="85" t="str">
        <f>TEXT(ROUND(VLOOKUP('Perpetual Pricing'!$J$2,XE!$M$5:$N$6,2,FALSE)*BASE!H136*VLOOKUP('Perpetual Pricing'!$J$1,XE!$A:$F,6,FALSE)* (HLOOKUP($J$3,PARTNERPROGRAM!$D$7:$H$8,2,FALSE)),VLOOKUP('Perpetual Pricing'!$J$1,XE!$A:$H,8,FALSE)),VLOOKUP('Perpetual Pricing'!$J$1,XE!$A:$G,7,FALSE))</f>
        <v>302,8100</v>
      </c>
      <c r="I137" s="42" t="str">
        <f>CONCATENATE(LEFT(BASE!I136,6),VLOOKUP('Perpetual Pricing'!$J$1,XE!$A:$C,3,FALSE),MID(BASE!I136,9,1),IF('Perpetual Pricing'!$J$2="Standard","S","G"),RIGHT(BASE!I136,7))</f>
        <v>XSVS00EUMS121YZZZ</v>
      </c>
      <c r="J137" s="85" t="str">
        <f>TEXT(ROUND(VLOOKUP('Perpetual Pricing'!$J$2,XE!$M$5:$N$6,2,FALSE)*BASE!J136*VLOOKUP('Perpetual Pricing'!$J$1,XE!$A:$F,6,FALSE)* (HLOOKUP($J$3,PARTNERPROGRAM!$D$7:$H$8,2,FALSE)),VLOOKUP('Perpetual Pricing'!$J$1,XE!$A:$H,8,FALSE)),VLOOKUP('Perpetual Pricing'!$J$1,XE!$A:$G,7,FALSE))</f>
        <v>227,1100</v>
      </c>
      <c r="K137" s="42" t="str">
        <f>CONCATENATE(LEFT(BASE!K136,6),VLOOKUP('Perpetual Pricing'!$J$1,XE!$A:$C,3,FALSE),MID(BASE!K136,9,1),IF('Perpetual Pricing'!$J$2="Standard","S","G"),RIGHT(BASE!K136,7))</f>
        <v>XSVS00EUSS121YZZZ</v>
      </c>
    </row>
    <row r="138" spans="1:11">
      <c r="A138" s="257" t="s">
        <v>322</v>
      </c>
      <c r="B138" s="257"/>
      <c r="C138" s="257"/>
      <c r="D138" s="271"/>
      <c r="E138" s="271"/>
      <c r="F138" s="85" t="str">
        <f>TEXT(ROUND(VLOOKUP('Perpetual Pricing'!$J$2,XE!$M$5:$N$6,2,FALSE)*BASE!F137*VLOOKUP('Perpetual Pricing'!$J$1,XE!$A:$F,6,FALSE)* (HLOOKUP($J$3,PARTNERPROGRAM!$D$7:$H$8,2,FALSE)),VLOOKUP('Perpetual Pricing'!$J$1,XE!$A:$H,8,FALSE)),VLOOKUP('Perpetual Pricing'!$J$1,XE!$A:$G,7,FALSE))</f>
        <v>1498,0800</v>
      </c>
      <c r="G138" s="42" t="str">
        <f>CONCATENATE(LEFT(BASE!G137,6),VLOOKUP('Perpetual Pricing'!$J$1,XE!$A:$C,3,FALSE),MID(BASE!G137,9,1),IF('Perpetual Pricing'!$J$2="Standard","S","G"),RIGHT(BASE!G137,7))</f>
        <v>XSVS00EUUS2400ZZZ</v>
      </c>
      <c r="H138" s="85" t="str">
        <f>TEXT(ROUND(VLOOKUP('Perpetual Pricing'!$J$2,XE!$M$5:$N$6,2,FALSE)*BASE!H137*VLOOKUP('Perpetual Pricing'!$J$1,XE!$A:$F,6,FALSE)* (HLOOKUP($J$3,PARTNERPROGRAM!$D$7:$H$8,2,FALSE)),VLOOKUP('Perpetual Pricing'!$J$1,XE!$A:$H,8,FALSE)),VLOOKUP('Perpetual Pricing'!$J$1,XE!$A:$G,7,FALSE))</f>
        <v>599,2300</v>
      </c>
      <c r="I138" s="42" t="str">
        <f>CONCATENATE(LEFT(BASE!I137,6),VLOOKUP('Perpetual Pricing'!$J$1,XE!$A:$C,3,FALSE),MID(BASE!I137,9,1),IF('Perpetual Pricing'!$J$2="Standard","S","G"),RIGHT(BASE!I137,7))</f>
        <v>XSVS00EUMS241YZZZ</v>
      </c>
      <c r="J138" s="85" t="str">
        <f>TEXT(ROUND(VLOOKUP('Perpetual Pricing'!$J$2,XE!$M$5:$N$6,2,FALSE)*BASE!J137*VLOOKUP('Perpetual Pricing'!$J$1,XE!$A:$F,6,FALSE)* (HLOOKUP($J$3,PARTNERPROGRAM!$D$7:$H$8,2,FALSE)),VLOOKUP('Perpetual Pricing'!$J$1,XE!$A:$H,8,FALSE)),VLOOKUP('Perpetual Pricing'!$J$1,XE!$A:$G,7,FALSE))</f>
        <v>449,4200</v>
      </c>
      <c r="K138" s="42" t="str">
        <f>CONCATENATE(LEFT(BASE!K137,6),VLOOKUP('Perpetual Pricing'!$J$1,XE!$A:$C,3,FALSE),MID(BASE!K137,9,1),IF('Perpetual Pricing'!$J$2="Standard","S","G"),RIGHT(BASE!K137,7))</f>
        <v>XSVS00EUSS241YZZZ</v>
      </c>
    </row>
    <row r="139" spans="1:11">
      <c r="A139" s="257" t="s">
        <v>326</v>
      </c>
      <c r="B139" s="257"/>
      <c r="C139" s="257"/>
      <c r="D139" s="271"/>
      <c r="E139" s="271"/>
      <c r="F139" s="85" t="str">
        <f>TEXT(ROUND(VLOOKUP('Perpetual Pricing'!$J$2,XE!$M$5:$N$6,2,FALSE)*BASE!F138*VLOOKUP('Perpetual Pricing'!$J$1,XE!$A:$F,6,FALSE)* (HLOOKUP($J$3,PARTNERPROGRAM!$D$7:$H$8,2,FALSE)),VLOOKUP('Perpetual Pricing'!$J$1,XE!$A:$H,8,FALSE)),VLOOKUP('Perpetual Pricing'!$J$1,XE!$A:$G,7,FALSE))</f>
        <v>3096,0400</v>
      </c>
      <c r="G139" s="42" t="str">
        <f>CONCATENATE(LEFT(BASE!G138,6),VLOOKUP('Perpetual Pricing'!$J$1,XE!$A:$C,3,FALSE),MID(BASE!G138,9,1),IF('Perpetual Pricing'!$J$2="Standard","S","G"),RIGHT(BASE!G138,7))</f>
        <v>XSVS00EUUS5000ZZZ</v>
      </c>
      <c r="H139" s="85" t="str">
        <f>TEXT(ROUND(VLOOKUP('Perpetual Pricing'!$J$2,XE!$M$5:$N$6,2,FALSE)*BASE!H138*VLOOKUP('Perpetual Pricing'!$J$1,XE!$A:$F,6,FALSE)* (HLOOKUP($J$3,PARTNERPROGRAM!$D$7:$H$8,2,FALSE)),VLOOKUP('Perpetual Pricing'!$J$1,XE!$A:$H,8,FALSE)),VLOOKUP('Perpetual Pricing'!$J$1,XE!$A:$G,7,FALSE))</f>
        <v>1238,4100</v>
      </c>
      <c r="I139" s="42" t="str">
        <f>CONCATENATE(LEFT(BASE!I138,6),VLOOKUP('Perpetual Pricing'!$J$1,XE!$A:$C,3,FALSE),MID(BASE!I138,9,1),IF('Perpetual Pricing'!$J$2="Standard","S","G"),RIGHT(BASE!I138,7))</f>
        <v>XSVS00EUMS501YZZZ</v>
      </c>
      <c r="J139" s="85" t="str">
        <f>TEXT(ROUND(VLOOKUP('Perpetual Pricing'!$J$2,XE!$M$5:$N$6,2,FALSE)*BASE!J138*VLOOKUP('Perpetual Pricing'!$J$1,XE!$A:$F,6,FALSE)* (HLOOKUP($J$3,PARTNERPROGRAM!$D$7:$H$8,2,FALSE)),VLOOKUP('Perpetual Pricing'!$J$1,XE!$A:$H,8,FALSE)),VLOOKUP('Perpetual Pricing'!$J$1,XE!$A:$G,7,FALSE))</f>
        <v>928,8100</v>
      </c>
      <c r="K139" s="42" t="str">
        <f>CONCATENATE(LEFT(BASE!K138,6),VLOOKUP('Perpetual Pricing'!$J$1,XE!$A:$C,3,FALSE),MID(BASE!K138,9,1),IF('Perpetual Pricing'!$J$2="Standard","S","G"),RIGHT(BASE!K138,7))</f>
        <v>XSVS00EUSS501YZZZ</v>
      </c>
    </row>
    <row r="140" spans="1:11">
      <c r="A140" s="44" t="s">
        <v>278</v>
      </c>
      <c r="B140" s="49"/>
      <c r="C140" s="50"/>
      <c r="D140" s="35"/>
      <c r="E140" s="36"/>
      <c r="F140" s="35"/>
      <c r="G140" s="36"/>
      <c r="H140" s="35"/>
      <c r="I140" s="36"/>
      <c r="J140" s="35"/>
      <c r="K140" s="36"/>
    </row>
    <row r="141" spans="1:11">
      <c r="A141" s="258" t="s">
        <v>485</v>
      </c>
      <c r="B141" s="258"/>
      <c r="C141" s="258"/>
      <c r="D141" s="258"/>
      <c r="E141" s="258"/>
      <c r="F141" s="258"/>
      <c r="G141" s="258"/>
      <c r="H141" s="258"/>
      <c r="I141" s="258"/>
      <c r="J141" s="258"/>
      <c r="K141" s="258"/>
    </row>
    <row r="142" spans="1:1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1:11" ht="20.25">
      <c r="A143" s="215" t="s">
        <v>517</v>
      </c>
      <c r="B143" s="19"/>
      <c r="C143" s="19"/>
      <c r="D143" s="4"/>
      <c r="E143" s="20"/>
      <c r="F143" s="1"/>
      <c r="G143" s="9"/>
      <c r="H143" s="1"/>
      <c r="I143" s="9"/>
      <c r="J143" s="1"/>
      <c r="K143" s="13"/>
    </row>
    <row r="144" spans="1:11" ht="15.75" customHeight="1">
      <c r="A144" s="253" t="s">
        <v>2</v>
      </c>
      <c r="B144" s="253"/>
      <c r="C144" s="254"/>
      <c r="D144" s="259" t="str">
        <f>CONCATENATE(IF('Perpetual Pricing'!$J$2="Standard",HLOOKUP($U$1,Phrasing!A:A,48,FALSE),IF('Perpetual Pricing'!$J$2="Gov/Edu/NonProfit",HLOOKUP($U$1,Phrasing!A:A,49,FALSE),"???"))," - ",$J$3,, " - ",VLOOKUP($J$3,PARTNERPROGRAM!$U$5:$V$9,2,FALSE))</f>
        <v>Standard Pricing - Non Partner - SRP</v>
      </c>
      <c r="E144" s="259"/>
      <c r="F144" s="259"/>
      <c r="G144" s="259"/>
      <c r="H144" s="260"/>
      <c r="I144" s="260"/>
      <c r="J144" s="259"/>
      <c r="K144" s="259"/>
    </row>
    <row r="145" spans="1:11" ht="12.75" customHeight="1">
      <c r="A145" s="253"/>
      <c r="B145" s="253"/>
      <c r="C145" s="254"/>
      <c r="D145" s="235" t="str">
        <f>HLOOKUP($U$1,Phrasing!A:A,40,FALSE)</f>
        <v>New</v>
      </c>
      <c r="E145" s="236"/>
      <c r="F145" s="237" t="str">
        <f>HLOOKUP($U$1,Phrasing!A:A,158,FALSE)</f>
        <v>Upgrade</v>
      </c>
      <c r="G145" s="238"/>
      <c r="H145" s="230" t="str">
        <f>HLOOKUP($U$1,Phrasing!A:A,170,FALSE)</f>
        <v>1Yr Maintenance</v>
      </c>
      <c r="I145" s="231"/>
      <c r="J145" s="239" t="str">
        <f>HLOOKUP($U$1,Phrasing!A:A,45,FALSE)</f>
        <v>Premium Support</v>
      </c>
      <c r="K145" s="240"/>
    </row>
    <row r="146" spans="1:11" ht="12.75" customHeight="1">
      <c r="A146" s="253"/>
      <c r="B146" s="253"/>
      <c r="C146" s="254"/>
      <c r="D146" s="243" t="str">
        <f>HLOOKUP($U$1,Phrasing!A:A,23,FALSE)</f>
        <v>Includes one year of Maintenance</v>
      </c>
      <c r="E146" s="244"/>
      <c r="F146" s="245" t="str">
        <f>HLOOKUP($U$1,Phrasing!A:A,23,FALSE)</f>
        <v>Includes one year of Maintenance</v>
      </c>
      <c r="G146" s="246"/>
      <c r="H146" s="228" t="str">
        <f>HLOOKUP($U$1,Phrasing!A:A,171,FALSE)</f>
        <v>Renewal</v>
      </c>
      <c r="I146" s="229"/>
      <c r="J146" s="241"/>
      <c r="K146" s="242"/>
    </row>
    <row r="147" spans="1:11" ht="12.75" customHeight="1">
      <c r="A147" s="255"/>
      <c r="B147" s="255"/>
      <c r="C147" s="256"/>
      <c r="D147" s="100" t="str">
        <f>CONCATENATE(HLOOKUP($U$1,Phrasing!A:A,46,FALSE),": ",VLOOKUP('Perpetual Pricing'!$J$1,XE!$A:$B,2,FALSE))</f>
        <v>Price: EUR</v>
      </c>
      <c r="E147" s="75" t="str">
        <f>HLOOKUP($U$1,Phrasing!A:A,43,FALSE)</f>
        <v>Part Number</v>
      </c>
      <c r="F147" s="100" t="str">
        <f>CONCATENATE(HLOOKUP($U$1,Phrasing!A:A,46,FALSE),": ",VLOOKUP('Perpetual Pricing'!$J$1,XE!$A:$B,2,FALSE))</f>
        <v>Price: EUR</v>
      </c>
      <c r="G147" s="75" t="str">
        <f>HLOOKUP($U$1,Phrasing!A:A,43,FALSE)</f>
        <v>Part Number</v>
      </c>
      <c r="H147" s="100" t="str">
        <f>CONCATENATE(HLOOKUP($U$1,Phrasing!A:A,46,FALSE),": ",VLOOKUP('Perpetual Pricing'!$J$1,XE!$A:$B,2,FALSE))</f>
        <v>Price: EUR</v>
      </c>
      <c r="I147" s="72" t="str">
        <f>HLOOKUP($U$1,Phrasing!A:A,43,FALSE)</f>
        <v>Part Number</v>
      </c>
      <c r="J147" s="100" t="str">
        <f>CONCATENATE(HLOOKUP($U$1,Phrasing!A:A,46,FALSE),": ",VLOOKUP('Perpetual Pricing'!$J$1,XE!$A:$B,2,FALSE))</f>
        <v>Price: EUR</v>
      </c>
      <c r="K147" s="72" t="str">
        <f>HLOOKUP($U$1,Phrasing!A:A,43,FALSE)</f>
        <v>Part Number</v>
      </c>
    </row>
    <row r="148" spans="1:11">
      <c r="A148" s="257" t="s">
        <v>331</v>
      </c>
      <c r="B148" s="257"/>
      <c r="C148" s="257"/>
      <c r="D148" s="85" t="str">
        <f>TEXT(ROUND(VLOOKUP('Perpetual Pricing'!$J$2,XE!$M$5:$N$6,2,FALSE)*BASE!D147*VLOOKUP('Perpetual Pricing'!$J$1,XE!$A:$F,6,FALSE)* (HLOOKUP($J$3,PARTNERPROGRAM!$D$7:$H$8,2,FALSE)),VLOOKUP('Perpetual Pricing'!$J$1,XE!$A:$H,8,FALSE)),VLOOKUP('Perpetual Pricing'!$J$1,XE!$A:$G,7,FALSE))</f>
        <v>315,600</v>
      </c>
      <c r="E148" s="42" t="str">
        <f>CONCATENATE(LEFT(BASE!E147,6),VLOOKUP('Perpetual Pricing'!$J$1,XE!$A:$C,3,FALSE),MID(BASE!E147,9,1),IF('Perpetual Pricing'!$J$2="Standard","S","G"),RIGHT(BASE!E147,7))</f>
        <v>XSVW00EUPS0100ZZZ</v>
      </c>
      <c r="F148" s="85" t="str">
        <f>TEXT(ROUND(VLOOKUP('Perpetual Pricing'!$J$2,XE!$M$5:$N$6,2,FALSE)*BASE!F147*VLOOKUP('Perpetual Pricing'!$J$1,XE!$A:$F,6,FALSE)* (HLOOKUP($J$3,PARTNERPROGRAM!$D$7:$H$8,2,FALSE)),VLOOKUP('Perpetual Pricing'!$J$1,XE!$A:$H,8,FALSE)),VLOOKUP('Perpetual Pricing'!$J$1,XE!$A:$G,7,FALSE))</f>
        <v>157,800</v>
      </c>
      <c r="G148" s="42" t="str">
        <f>CONCATENATE(LEFT(BASE!G147,6),VLOOKUP('Perpetual Pricing'!$J$1,XE!$A:$C,3,FALSE),MID(BASE!G147,9,1),IF('Perpetual Pricing'!$J$2="Standard","S","G"),RIGHT(BASE!G147,7))</f>
        <v>XSVW00EUUS0100ZZZ</v>
      </c>
      <c r="H148" s="85" t="str">
        <f>TEXT(ROUND(VLOOKUP('Perpetual Pricing'!$J$2,XE!$M$5:$N$6,2,FALSE)*BASE!H147*VLOOKUP('Perpetual Pricing'!$J$1,XE!$A:$F,6,FALSE)* (HLOOKUP($J$3,PARTNERPROGRAM!$D$7:$H$8,2,FALSE)),VLOOKUP('Perpetual Pricing'!$J$1,XE!$A:$H,8,FALSE)),VLOOKUP('Perpetual Pricing'!$J$1,XE!$A:$G,7,FALSE))</f>
        <v>63,1200</v>
      </c>
      <c r="I148" s="42" t="str">
        <f>CONCATENATE(LEFT(BASE!I147,6),VLOOKUP('Perpetual Pricing'!$J$1,XE!$A:$C,3,FALSE),MID(BASE!I147,9,1),IF('Perpetual Pricing'!$J$2="Standard","S","G"),RIGHT(BASE!I147,7))</f>
        <v>XSVW00EUMS011YZZZ</v>
      </c>
      <c r="J148" s="85" t="str">
        <f>TEXT(ROUND(VLOOKUP('Perpetual Pricing'!$J$2,XE!$M$5:$N$6,2,FALSE)*BASE!J147*VLOOKUP('Perpetual Pricing'!$J$1,XE!$A:$F,6,FALSE)* (HLOOKUP($J$3,PARTNERPROGRAM!$D$7:$H$8,2,FALSE)),VLOOKUP('Perpetual Pricing'!$J$1,XE!$A:$H,8,FALSE)),VLOOKUP('Perpetual Pricing'!$J$1,XE!$A:$G,7,FALSE))</f>
        <v>47,3400</v>
      </c>
      <c r="K148" s="42" t="str">
        <f>CONCATENATE(LEFT(BASE!K147,6),VLOOKUP('Perpetual Pricing'!$J$1,XE!$A:$C,3,FALSE),MID(BASE!K147,9,1),IF('Perpetual Pricing'!$J$2="Standard","S","G"),RIGHT(BASE!K147,7))</f>
        <v>XSVW00EUSS011YZZZ</v>
      </c>
    </row>
    <row r="149" spans="1:11">
      <c r="A149" s="257" t="s">
        <v>336</v>
      </c>
      <c r="B149" s="257"/>
      <c r="C149" s="257"/>
      <c r="D149" s="85" t="str">
        <f>TEXT(ROUND(VLOOKUP('Perpetual Pricing'!$J$2,XE!$M$5:$N$6,2,FALSE)*BASE!D148*VLOOKUP('Perpetual Pricing'!$J$1,XE!$A:$F,6,FALSE)* (HLOOKUP($J$3,PARTNERPROGRAM!$D$7:$H$8,2,FALSE)),VLOOKUP('Perpetual Pricing'!$J$1,XE!$A:$H,8,FALSE)),VLOOKUP('Perpetual Pricing'!$J$1,XE!$A:$G,7,FALSE))</f>
        <v>794,9800</v>
      </c>
      <c r="E149" s="42" t="str">
        <f>CONCATENATE(LEFT(BASE!E148,6),VLOOKUP('Perpetual Pricing'!$J$1,XE!$A:$C,3,FALSE),MID(BASE!E148,9,1),IF('Perpetual Pricing'!$J$2="Standard","S","G"),RIGHT(BASE!E148,7))</f>
        <v>XSVW00EUPS0300ZZZ</v>
      </c>
      <c r="F149" s="85" t="str">
        <f>TEXT(ROUND(VLOOKUP('Perpetual Pricing'!$J$2,XE!$M$5:$N$6,2,FALSE)*BASE!F148*VLOOKUP('Perpetual Pricing'!$J$1,XE!$A:$F,6,FALSE)* (HLOOKUP($J$3,PARTNERPROGRAM!$D$7:$H$8,2,FALSE)),VLOOKUP('Perpetual Pricing'!$J$1,XE!$A:$H,8,FALSE)),VLOOKUP('Perpetual Pricing'!$J$1,XE!$A:$G,7,FALSE))</f>
        <v>397,4900</v>
      </c>
      <c r="G149" s="42" t="str">
        <f>CONCATENATE(LEFT(BASE!G148,6),VLOOKUP('Perpetual Pricing'!$J$1,XE!$A:$C,3,FALSE),MID(BASE!G148,9,1),IF('Perpetual Pricing'!$J$2="Standard","S","G"),RIGHT(BASE!G148,7))</f>
        <v>XSVW00EUUS0300ZZZ</v>
      </c>
      <c r="H149" s="85" t="str">
        <f>TEXT(ROUND(VLOOKUP('Perpetual Pricing'!$J$2,XE!$M$5:$N$6,2,FALSE)*BASE!H148*VLOOKUP('Perpetual Pricing'!$J$1,XE!$A:$F,6,FALSE)* (HLOOKUP($J$3,PARTNERPROGRAM!$D$7:$H$8,2,FALSE)),VLOOKUP('Perpetual Pricing'!$J$1,XE!$A:$H,8,FALSE)),VLOOKUP('Perpetual Pricing'!$J$1,XE!$A:$G,7,FALSE))</f>
        <v>159,00</v>
      </c>
      <c r="I149" s="42" t="str">
        <f>CONCATENATE(LEFT(BASE!I148,6),VLOOKUP('Perpetual Pricing'!$J$1,XE!$A:$C,3,FALSE),MID(BASE!I148,9,1),IF('Perpetual Pricing'!$J$2="Standard","S","G"),RIGHT(BASE!I148,7))</f>
        <v>XSVW00EUMS031YZZZ</v>
      </c>
      <c r="J149" s="85" t="str">
        <f>TEXT(ROUND(VLOOKUP('Perpetual Pricing'!$J$2,XE!$M$5:$N$6,2,FALSE)*BASE!J148*VLOOKUP('Perpetual Pricing'!$J$1,XE!$A:$F,6,FALSE)* (HLOOKUP($J$3,PARTNERPROGRAM!$D$7:$H$8,2,FALSE)),VLOOKUP('Perpetual Pricing'!$J$1,XE!$A:$H,8,FALSE)),VLOOKUP('Perpetual Pricing'!$J$1,XE!$A:$G,7,FALSE))</f>
        <v>119,2500</v>
      </c>
      <c r="K149" s="42" t="str">
        <f>CONCATENATE(LEFT(BASE!K148,6),VLOOKUP('Perpetual Pricing'!$J$1,XE!$A:$C,3,FALSE),MID(BASE!K148,9,1),IF('Perpetual Pricing'!$J$2="Standard","S","G"),RIGHT(BASE!K148,7))</f>
        <v>XSVW00EUSS031YZZZ</v>
      </c>
    </row>
    <row r="150" spans="1:11">
      <c r="A150" s="257" t="s">
        <v>341</v>
      </c>
      <c r="B150" s="257"/>
      <c r="C150" s="257"/>
      <c r="D150" s="85" t="str">
        <f>TEXT(ROUND(VLOOKUP('Perpetual Pricing'!$J$2,XE!$M$5:$N$6,2,FALSE)*BASE!D149*VLOOKUP('Perpetual Pricing'!$J$1,XE!$A:$F,6,FALSE)* (HLOOKUP($J$3,PARTNERPROGRAM!$D$7:$H$8,2,FALSE)),VLOOKUP('Perpetual Pricing'!$J$1,XE!$A:$H,8,FALSE)),VLOOKUP('Perpetual Pricing'!$J$1,XE!$A:$G,7,FALSE))</f>
        <v>1913,5500</v>
      </c>
      <c r="E150" s="42" t="str">
        <f>CONCATENATE(LEFT(BASE!E149,6),VLOOKUP('Perpetual Pricing'!$J$1,XE!$A:$C,3,FALSE),MID(BASE!E149,9,1),IF('Perpetual Pricing'!$J$2="Standard","S","G"),RIGHT(BASE!E149,7))</f>
        <v>XSVW00EUPS1000ZZZ</v>
      </c>
      <c r="F150" s="85" t="str">
        <f>TEXT(ROUND(VLOOKUP('Perpetual Pricing'!$J$2,XE!$M$5:$N$6,2,FALSE)*BASE!F149*VLOOKUP('Perpetual Pricing'!$J$1,XE!$A:$F,6,FALSE)* (HLOOKUP($J$3,PARTNERPROGRAM!$D$7:$H$8,2,FALSE)),VLOOKUP('Perpetual Pricing'!$J$1,XE!$A:$H,8,FALSE)),VLOOKUP('Perpetual Pricing'!$J$1,XE!$A:$G,7,FALSE))</f>
        <v>956,7800</v>
      </c>
      <c r="G150" s="42" t="str">
        <f>CONCATENATE(LEFT(BASE!G149,6),VLOOKUP('Perpetual Pricing'!$J$1,XE!$A:$C,3,FALSE),MID(BASE!G149,9,1),IF('Perpetual Pricing'!$J$2="Standard","S","G"),RIGHT(BASE!G149,7))</f>
        <v>XSVW00EUUS1000ZZZ</v>
      </c>
      <c r="H150" s="85" t="str">
        <f>TEXT(ROUND(VLOOKUP('Perpetual Pricing'!$J$2,XE!$M$5:$N$6,2,FALSE)*BASE!H149*VLOOKUP('Perpetual Pricing'!$J$1,XE!$A:$F,6,FALSE)* (HLOOKUP($J$3,PARTNERPROGRAM!$D$7:$H$8,2,FALSE)),VLOOKUP('Perpetual Pricing'!$J$1,XE!$A:$H,8,FALSE)),VLOOKUP('Perpetual Pricing'!$J$1,XE!$A:$G,7,FALSE))</f>
        <v>382,7100</v>
      </c>
      <c r="I150" s="42" t="str">
        <f>CONCATENATE(LEFT(BASE!I149,6),VLOOKUP('Perpetual Pricing'!$J$1,XE!$A:$C,3,FALSE),MID(BASE!I149,9,1),IF('Perpetual Pricing'!$J$2="Standard","S","G"),RIGHT(BASE!I149,7))</f>
        <v>XSVW00EUMS101YZZZ</v>
      </c>
      <c r="J150" s="85" t="str">
        <f>TEXT(ROUND(VLOOKUP('Perpetual Pricing'!$J$2,XE!$M$5:$N$6,2,FALSE)*BASE!J149*VLOOKUP('Perpetual Pricing'!$J$1,XE!$A:$F,6,FALSE)* (HLOOKUP($J$3,PARTNERPROGRAM!$D$7:$H$8,2,FALSE)),VLOOKUP('Perpetual Pricing'!$J$1,XE!$A:$H,8,FALSE)),VLOOKUP('Perpetual Pricing'!$J$1,XE!$A:$G,7,FALSE))</f>
        <v>287,0300</v>
      </c>
      <c r="K150" s="42" t="str">
        <f>CONCATENATE(LEFT(BASE!K149,6),VLOOKUP('Perpetual Pricing'!$J$1,XE!$A:$C,3,FALSE),MID(BASE!K149,9,1),IF('Perpetual Pricing'!$J$2="Standard","S","G"),RIGHT(BASE!K149,7))</f>
        <v>XSVW00EUSS101YZZZ</v>
      </c>
    </row>
    <row r="151" spans="1:11">
      <c r="A151" s="257" t="s">
        <v>346</v>
      </c>
      <c r="B151" s="257"/>
      <c r="C151" s="257"/>
      <c r="D151" s="271" t="s">
        <v>314</v>
      </c>
      <c r="E151" s="271"/>
      <c r="F151" s="85" t="str">
        <f>TEXT(ROUND(VLOOKUP('Perpetual Pricing'!$J$2,XE!$M$5:$N$6,2,FALSE)*BASE!F150*VLOOKUP('Perpetual Pricing'!$J$1,XE!$A:$F,6,FALSE)* (HLOOKUP($J$3,PARTNERPROGRAM!$D$7:$H$8,2,FALSE)),VLOOKUP('Perpetual Pricing'!$J$1,XE!$A:$H,8,FALSE)),VLOOKUP('Perpetual Pricing'!$J$1,XE!$A:$G,7,FALSE))</f>
        <v>517,3400</v>
      </c>
      <c r="G151" s="42" t="str">
        <f>CONCATENATE(LEFT(BASE!G150,6),VLOOKUP('Perpetual Pricing'!$J$1,XE!$A:$C,3,FALSE),MID(BASE!G150,9,1),IF('Perpetual Pricing'!$J$2="Standard","S","G"),RIGHT(BASE!G150,7))</f>
        <v>XSVW00EUUS0600ZZZ</v>
      </c>
      <c r="H151" s="85" t="str">
        <f>TEXT(ROUND(VLOOKUP('Perpetual Pricing'!$J$2,XE!$M$5:$N$6,2,FALSE)*BASE!H150*VLOOKUP('Perpetual Pricing'!$J$1,XE!$A:$F,6,FALSE)* (HLOOKUP($J$3,PARTNERPROGRAM!$D$7:$H$8,2,FALSE)),VLOOKUP('Perpetual Pricing'!$J$1,XE!$A:$H,8,FALSE)),VLOOKUP('Perpetual Pricing'!$J$1,XE!$A:$G,7,FALSE))</f>
        <v>206,9400</v>
      </c>
      <c r="I151" s="42" t="str">
        <f>CONCATENATE(LEFT(BASE!I150,6),VLOOKUP('Perpetual Pricing'!$J$1,XE!$A:$C,3,FALSE),MID(BASE!I150,9,1),IF('Perpetual Pricing'!$J$2="Standard","S","G"),RIGHT(BASE!I150,7))</f>
        <v>XSVW00EUMS061YZZZ</v>
      </c>
      <c r="J151" s="85" t="str">
        <f>TEXT(ROUND(VLOOKUP('Perpetual Pricing'!$J$2,XE!$M$5:$N$6,2,FALSE)*BASE!J150*VLOOKUP('Perpetual Pricing'!$J$1,XE!$A:$F,6,FALSE)* (HLOOKUP($J$3,PARTNERPROGRAM!$D$7:$H$8,2,FALSE)),VLOOKUP('Perpetual Pricing'!$J$1,XE!$A:$H,8,FALSE)),VLOOKUP('Perpetual Pricing'!$J$1,XE!$A:$G,7,FALSE))</f>
        <v>155,200</v>
      </c>
      <c r="K151" s="42" t="str">
        <f>CONCATENATE(LEFT(BASE!K150,6),VLOOKUP('Perpetual Pricing'!$J$1,XE!$A:$C,3,FALSE),MID(BASE!K150,9,1),IF('Perpetual Pricing'!$J$2="Standard","S","G"),RIGHT(BASE!K150,7))</f>
        <v>XSVW00EUSS061YZZZ</v>
      </c>
    </row>
    <row r="152" spans="1:11">
      <c r="A152" s="257" t="s">
        <v>350</v>
      </c>
      <c r="B152" s="257"/>
      <c r="C152" s="257"/>
      <c r="D152" s="271"/>
      <c r="E152" s="271"/>
      <c r="F152" s="85" t="str">
        <f>TEXT(ROUND(VLOOKUP('Perpetual Pricing'!$J$2,XE!$M$5:$N$6,2,FALSE)*BASE!F151*VLOOKUP('Perpetual Pricing'!$J$1,XE!$A:$F,6,FALSE)* (HLOOKUP($J$3,PARTNERPROGRAM!$D$7:$H$8,2,FALSE)),VLOOKUP('Perpetual Pricing'!$J$1,XE!$A:$H,8,FALSE)),VLOOKUP('Perpetual Pricing'!$J$1,XE!$A:$G,7,FALSE))</f>
        <v>757,0300</v>
      </c>
      <c r="G152" s="42" t="str">
        <f>CONCATENATE(LEFT(BASE!G151,6),VLOOKUP('Perpetual Pricing'!$J$1,XE!$A:$C,3,FALSE),MID(BASE!G151,9,1),IF('Perpetual Pricing'!$J$2="Standard","S","G"),RIGHT(BASE!G151,7))</f>
        <v>XSVW00EUUS1200ZZZ</v>
      </c>
      <c r="H152" s="85" t="str">
        <f>TEXT(ROUND(VLOOKUP('Perpetual Pricing'!$J$2,XE!$M$5:$N$6,2,FALSE)*BASE!H151*VLOOKUP('Perpetual Pricing'!$J$1,XE!$A:$F,6,FALSE)* (HLOOKUP($J$3,PARTNERPROGRAM!$D$7:$H$8,2,FALSE)),VLOOKUP('Perpetual Pricing'!$J$1,XE!$A:$H,8,FALSE)),VLOOKUP('Perpetual Pricing'!$J$1,XE!$A:$G,7,FALSE))</f>
        <v>302,8100</v>
      </c>
      <c r="I152" s="42" t="str">
        <f>CONCATENATE(LEFT(BASE!I151,6),VLOOKUP('Perpetual Pricing'!$J$1,XE!$A:$C,3,FALSE),MID(BASE!I151,9,1),IF('Perpetual Pricing'!$J$2="Standard","S","G"),RIGHT(BASE!I151,7))</f>
        <v>XSVW00EUMS121YZZZ</v>
      </c>
      <c r="J152" s="85" t="str">
        <f>TEXT(ROUND(VLOOKUP('Perpetual Pricing'!$J$2,XE!$M$5:$N$6,2,FALSE)*BASE!J151*VLOOKUP('Perpetual Pricing'!$J$1,XE!$A:$F,6,FALSE)* (HLOOKUP($J$3,PARTNERPROGRAM!$D$7:$H$8,2,FALSE)),VLOOKUP('Perpetual Pricing'!$J$1,XE!$A:$H,8,FALSE)),VLOOKUP('Perpetual Pricing'!$J$1,XE!$A:$G,7,FALSE))</f>
        <v>227,1100</v>
      </c>
      <c r="K152" s="42" t="str">
        <f>CONCATENATE(LEFT(BASE!K151,6),VLOOKUP('Perpetual Pricing'!$J$1,XE!$A:$C,3,FALSE),MID(BASE!K151,9,1),IF('Perpetual Pricing'!$J$2="Standard","S","G"),RIGHT(BASE!K151,7))</f>
        <v>XSVW00EUSS121YZZZ</v>
      </c>
    </row>
    <row r="153" spans="1:11">
      <c r="A153" s="257" t="s">
        <v>354</v>
      </c>
      <c r="B153" s="257"/>
      <c r="C153" s="257"/>
      <c r="D153" s="271"/>
      <c r="E153" s="271"/>
      <c r="F153" s="85" t="str">
        <f>TEXT(ROUND(VLOOKUP('Perpetual Pricing'!$J$2,XE!$M$5:$N$6,2,FALSE)*BASE!F152*VLOOKUP('Perpetual Pricing'!$J$1,XE!$A:$F,6,FALSE)* (HLOOKUP($J$3,PARTNERPROGRAM!$D$7:$H$8,2,FALSE)),VLOOKUP('Perpetual Pricing'!$J$1,XE!$A:$H,8,FALSE)),VLOOKUP('Perpetual Pricing'!$J$1,XE!$A:$G,7,FALSE))</f>
        <v>1498,0800</v>
      </c>
      <c r="G153" s="42" t="str">
        <f>CONCATENATE(LEFT(BASE!G152,6),VLOOKUP('Perpetual Pricing'!$J$1,XE!$A:$C,3,FALSE),MID(BASE!G152,9,1),IF('Perpetual Pricing'!$J$2="Standard","S","G"),RIGHT(BASE!G152,7))</f>
        <v>XSVW00EUUS2400ZZZ</v>
      </c>
      <c r="H153" s="85" t="str">
        <f>TEXT(ROUND(VLOOKUP('Perpetual Pricing'!$J$2,XE!$M$5:$N$6,2,FALSE)*BASE!H152*VLOOKUP('Perpetual Pricing'!$J$1,XE!$A:$F,6,FALSE)* (HLOOKUP($J$3,PARTNERPROGRAM!$D$7:$H$8,2,FALSE)),VLOOKUP('Perpetual Pricing'!$J$1,XE!$A:$H,8,FALSE)),VLOOKUP('Perpetual Pricing'!$J$1,XE!$A:$G,7,FALSE))</f>
        <v>599,2300</v>
      </c>
      <c r="I153" s="42" t="str">
        <f>CONCATENATE(LEFT(BASE!I152,6),VLOOKUP('Perpetual Pricing'!$J$1,XE!$A:$C,3,FALSE),MID(BASE!I152,9,1),IF('Perpetual Pricing'!$J$2="Standard","S","G"),RIGHT(BASE!I152,7))</f>
        <v>XSVW00EUMS241YZZZ</v>
      </c>
      <c r="J153" s="85" t="str">
        <f>TEXT(ROUND(VLOOKUP('Perpetual Pricing'!$J$2,XE!$M$5:$N$6,2,FALSE)*BASE!J152*VLOOKUP('Perpetual Pricing'!$J$1,XE!$A:$F,6,FALSE)* (HLOOKUP($J$3,PARTNERPROGRAM!$D$7:$H$8,2,FALSE)),VLOOKUP('Perpetual Pricing'!$J$1,XE!$A:$H,8,FALSE)),VLOOKUP('Perpetual Pricing'!$J$1,XE!$A:$G,7,FALSE))</f>
        <v>449,4200</v>
      </c>
      <c r="K153" s="42" t="str">
        <f>CONCATENATE(LEFT(BASE!K152,6),VLOOKUP('Perpetual Pricing'!$J$1,XE!$A:$C,3,FALSE),MID(BASE!K152,9,1),IF('Perpetual Pricing'!$J$2="Standard","S","G"),RIGHT(BASE!K152,7))</f>
        <v>XSVW00EUSS241YZZZ</v>
      </c>
    </row>
    <row r="154" spans="1:11">
      <c r="A154" s="257" t="s">
        <v>358</v>
      </c>
      <c r="B154" s="257"/>
      <c r="C154" s="257"/>
      <c r="D154" s="271"/>
      <c r="E154" s="271"/>
      <c r="F154" s="85" t="str">
        <f>TEXT(ROUND(VLOOKUP('Perpetual Pricing'!$J$2,XE!$M$5:$N$6,2,FALSE)*BASE!F153*VLOOKUP('Perpetual Pricing'!$J$1,XE!$A:$F,6,FALSE)* (HLOOKUP($J$3,PARTNERPROGRAM!$D$7:$H$8,2,FALSE)),VLOOKUP('Perpetual Pricing'!$J$1,XE!$A:$H,8,FALSE)),VLOOKUP('Perpetual Pricing'!$J$1,XE!$A:$G,7,FALSE))</f>
        <v>3096,0400</v>
      </c>
      <c r="G154" s="42" t="str">
        <f>CONCATENATE(LEFT(BASE!G153,6),VLOOKUP('Perpetual Pricing'!$J$1,XE!$A:$C,3,FALSE),MID(BASE!G153,9,1),IF('Perpetual Pricing'!$J$2="Standard","S","G"),RIGHT(BASE!G153,7))</f>
        <v>XSVW00EUUS5000ZZZ</v>
      </c>
      <c r="H154" s="85" t="str">
        <f>TEXT(ROUND(VLOOKUP('Perpetual Pricing'!$J$2,XE!$M$5:$N$6,2,FALSE)*BASE!H153*VLOOKUP('Perpetual Pricing'!$J$1,XE!$A:$F,6,FALSE)* (HLOOKUP($J$3,PARTNERPROGRAM!$D$7:$H$8,2,FALSE)),VLOOKUP('Perpetual Pricing'!$J$1,XE!$A:$H,8,FALSE)),VLOOKUP('Perpetual Pricing'!$J$1,XE!$A:$G,7,FALSE))</f>
        <v>1238,4100</v>
      </c>
      <c r="I154" s="42" t="str">
        <f>CONCATENATE(LEFT(BASE!I153,6),VLOOKUP('Perpetual Pricing'!$J$1,XE!$A:$C,3,FALSE),MID(BASE!I153,9,1),IF('Perpetual Pricing'!$J$2="Standard","S","G"),RIGHT(BASE!I153,7))</f>
        <v>XSVW00EUMS501YZZZ</v>
      </c>
      <c r="J154" s="85" t="str">
        <f>TEXT(ROUND(VLOOKUP('Perpetual Pricing'!$J$2,XE!$M$5:$N$6,2,FALSE)*BASE!J153*VLOOKUP('Perpetual Pricing'!$J$1,XE!$A:$F,6,FALSE)* (HLOOKUP($J$3,PARTNERPROGRAM!$D$7:$H$8,2,FALSE)),VLOOKUP('Perpetual Pricing'!$J$1,XE!$A:$H,8,FALSE)),VLOOKUP('Perpetual Pricing'!$J$1,XE!$A:$G,7,FALSE))</f>
        <v>928,8100</v>
      </c>
      <c r="K154" s="42" t="str">
        <f>CONCATENATE(LEFT(BASE!K153,6),VLOOKUP('Perpetual Pricing'!$J$1,XE!$A:$C,3,FALSE),MID(BASE!K153,9,1),IF('Perpetual Pricing'!$J$2="Standard","S","G"),RIGHT(BASE!K153,7))</f>
        <v>XSVW00EUSS501YZZZ</v>
      </c>
    </row>
    <row r="155" spans="1:11">
      <c r="A155" s="44" t="s">
        <v>278</v>
      </c>
      <c r="B155" s="78"/>
      <c r="C155" s="78"/>
      <c r="D155" s="48"/>
      <c r="E155" s="48"/>
      <c r="F155" s="46"/>
      <c r="G155" s="36"/>
      <c r="H155" s="46"/>
      <c r="I155" s="36"/>
      <c r="J155" s="46"/>
      <c r="K155" s="36"/>
    </row>
    <row r="156" spans="1:11">
      <c r="A156" s="258" t="s">
        <v>485</v>
      </c>
      <c r="B156" s="258"/>
      <c r="C156" s="258"/>
      <c r="D156" s="258"/>
      <c r="E156" s="258"/>
      <c r="F156" s="258"/>
      <c r="G156" s="258"/>
      <c r="H156" s="258"/>
      <c r="I156" s="258"/>
      <c r="J156" s="258"/>
      <c r="K156" s="258"/>
    </row>
    <row r="157" spans="1:1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</row>
    <row r="158" spans="1:11" ht="20.25">
      <c r="A158" s="215" t="s">
        <v>518</v>
      </c>
      <c r="B158" s="19"/>
      <c r="C158" s="19"/>
      <c r="D158" s="1"/>
      <c r="E158" s="9"/>
      <c r="F158" s="1"/>
      <c r="G158" s="9"/>
      <c r="H158" s="1"/>
      <c r="I158" s="9"/>
      <c r="J158" s="1"/>
      <c r="K158" s="13"/>
    </row>
    <row r="159" spans="1:11" ht="20.25">
      <c r="A159" s="215" t="s">
        <v>79</v>
      </c>
      <c r="B159" s="19"/>
      <c r="C159" s="19"/>
      <c r="D159" s="1"/>
      <c r="E159" s="9"/>
      <c r="F159" s="1"/>
      <c r="G159" s="9"/>
      <c r="H159" s="1"/>
      <c r="I159" s="9"/>
      <c r="J159" s="1"/>
      <c r="K159" s="13"/>
    </row>
    <row r="160" spans="1:11" ht="15.75" customHeight="1">
      <c r="A160" s="253" t="s">
        <v>2</v>
      </c>
      <c r="B160" s="253"/>
      <c r="C160" s="254"/>
      <c r="D160" s="232" t="str">
        <f>HLOOKUP($U$1,Phrasing!A:A,16,FALSE)</f>
        <v>Competitive Upgrade Price - SRP</v>
      </c>
      <c r="E160" s="233"/>
      <c r="F160" s="233"/>
      <c r="G160" s="233"/>
      <c r="H160" s="233"/>
      <c r="I160" s="233"/>
      <c r="J160" s="233"/>
      <c r="K160" s="234"/>
    </row>
    <row r="161" spans="1:11" ht="12.75" customHeight="1">
      <c r="A161" s="253"/>
      <c r="B161" s="253"/>
      <c r="C161" s="254"/>
      <c r="D161" s="235" t="str">
        <f>HLOOKUP($U$1,Phrasing!A:A,40,FALSE)</f>
        <v>New</v>
      </c>
      <c r="E161" s="236"/>
      <c r="F161" s="237" t="str">
        <f>HLOOKUP($U$1,Phrasing!A:A,158,FALSE)</f>
        <v>Upgrade</v>
      </c>
      <c r="G161" s="275"/>
      <c r="H161" s="230" t="str">
        <f>HLOOKUP($U$1,Phrasing!A:A,170,FALSE)</f>
        <v>1Yr Maintenance</v>
      </c>
      <c r="I161" s="231"/>
      <c r="J161" s="239" t="str">
        <f>HLOOKUP($U$1,Phrasing!A:A,45,FALSE)</f>
        <v>Premium Support</v>
      </c>
      <c r="K161" s="240"/>
    </row>
    <row r="162" spans="1:11">
      <c r="A162" s="253"/>
      <c r="B162" s="253"/>
      <c r="C162" s="254"/>
      <c r="D162" s="243" t="str">
        <f>HLOOKUP($U$1,Phrasing!A:A,23,FALSE)</f>
        <v>Includes one year of Maintenance</v>
      </c>
      <c r="E162" s="244"/>
      <c r="F162" s="245" t="str">
        <f>HLOOKUP($U$1,Phrasing!A:A,23,FALSE)</f>
        <v>Includes one year of Maintenance</v>
      </c>
      <c r="G162" s="276"/>
      <c r="H162" s="228" t="str">
        <f>HLOOKUP($U$1,Phrasing!A:A,171,FALSE)</f>
        <v>Renewal</v>
      </c>
      <c r="I162" s="229"/>
      <c r="J162" s="241"/>
      <c r="K162" s="242"/>
    </row>
    <row r="163" spans="1:11">
      <c r="A163" s="255"/>
      <c r="B163" s="255"/>
      <c r="C163" s="256"/>
      <c r="D163" s="100" t="str">
        <f>CONCATENATE(HLOOKUP($U$1,Phrasing!A:A,46,FALSE),": ",VLOOKUP('Perpetual Pricing'!$J$1,XE!$A:$B,2,FALSE))</f>
        <v>Price: EUR</v>
      </c>
      <c r="E163" s="75" t="str">
        <f>HLOOKUP($U$1,Phrasing!A:A,43,FALSE)</f>
        <v>Part Number</v>
      </c>
      <c r="F163" s="100" t="s">
        <v>12</v>
      </c>
      <c r="G163" s="75" t="str">
        <f>HLOOKUP($U$1,Phrasing!A:A,43,FALSE)</f>
        <v>Part Number</v>
      </c>
      <c r="H163" s="100" t="s">
        <v>12</v>
      </c>
      <c r="I163" s="75" t="str">
        <f>HLOOKUP($U$1,Phrasing!A:A,43,FALSE)</f>
        <v>Part Number</v>
      </c>
      <c r="J163" s="99" t="s">
        <v>12</v>
      </c>
      <c r="K163" s="72" t="str">
        <f>HLOOKUP($U$1,Phrasing!A:A,43,FALSE)</f>
        <v>Part Number</v>
      </c>
    </row>
    <row r="164" spans="1:11">
      <c r="A164" s="257" t="s">
        <v>298</v>
      </c>
      <c r="B164" s="257"/>
      <c r="C164" s="257"/>
      <c r="D164" s="85" t="str">
        <f>TEXT(ROUND(BASE!D147*VLOOKUP('Perpetual Pricing'!$J$1,XE!$A:$F,6,FALSE)*VLOOKUP('Perpetual Pricing'!$J$1,XE!$A:$L,12,FALSE)*(HLOOKUP($J$3,PARTNERPROGRAM!$D$7:$H$9,3,FALSE)),VLOOKUP('Perpetual Pricing'!$J$1,XE!$A:$H,8,FALSE)),VLOOKUP('Perpetual Pricing'!J$1,XE!$A:$G,7,FALSE))</f>
        <v>205,1400</v>
      </c>
      <c r="E164" s="42" t="str">
        <f>CONCATENATE(LEFT(BASE!E163,6),VLOOKUP('Perpetual Pricing'!$J$1,XE!$A:$C,3,FALSE),RIGHT(BASE!E163,9))</f>
        <v>XSVS00EUPC0100ZZZ</v>
      </c>
      <c r="F164" s="273" t="s">
        <v>84</v>
      </c>
      <c r="G164" s="274"/>
      <c r="H164" s="270" t="s">
        <v>85</v>
      </c>
      <c r="I164" s="271"/>
      <c r="J164" s="270" t="s">
        <v>86</v>
      </c>
      <c r="K164" s="271"/>
    </row>
    <row r="165" spans="1:11">
      <c r="A165" s="257" t="s">
        <v>303</v>
      </c>
      <c r="B165" s="257"/>
      <c r="C165" s="257"/>
      <c r="D165" s="85" t="str">
        <f>TEXT(ROUND(BASE!D148*VLOOKUP('Perpetual Pricing'!$J$1,XE!$A:$F,6,FALSE)*VLOOKUP('Perpetual Pricing'!$J$1,XE!$A:$L,12,FALSE)*(HLOOKUP($J$3,PARTNERPROGRAM!$D$7:$H$9,3,FALSE)),VLOOKUP('Perpetual Pricing'!$J$1,XE!$A:$H,8,FALSE)),VLOOKUP('Perpetual Pricing'!J$1,XE!$A:$G,7,FALSE))</f>
        <v>516,7400</v>
      </c>
      <c r="E165" s="42" t="str">
        <f>CONCATENATE(LEFT(BASE!E164,6),VLOOKUP('Perpetual Pricing'!$J$1,XE!$A:$C,3,FALSE),RIGHT(BASE!E164,9))</f>
        <v>XSVS00EUPC0300ZZZ</v>
      </c>
      <c r="F165" s="271"/>
      <c r="G165" s="271"/>
      <c r="H165" s="271"/>
      <c r="I165" s="271"/>
      <c r="J165" s="271"/>
      <c r="K165" s="271"/>
    </row>
    <row r="166" spans="1:11">
      <c r="A166" s="257" t="s">
        <v>308</v>
      </c>
      <c r="B166" s="257"/>
      <c r="C166" s="257"/>
      <c r="D166" s="85" t="str">
        <f>TEXT(ROUND(BASE!D149*VLOOKUP('Perpetual Pricing'!$J$1,XE!$A:$F,6,FALSE)*VLOOKUP('Perpetual Pricing'!$J$1,XE!$A:$L,12,FALSE)*(HLOOKUP($J$3,PARTNERPROGRAM!$D$7:$H$9,3,FALSE)),VLOOKUP('Perpetual Pricing'!$J$1,XE!$A:$H,8,FALSE)),VLOOKUP('Perpetual Pricing'!J$1,XE!$A:$G,7,FALSE))</f>
        <v>1243,8100</v>
      </c>
      <c r="E166" s="42" t="str">
        <f>CONCATENATE(LEFT(BASE!E165,6),VLOOKUP('Perpetual Pricing'!$J$1,XE!$A:$C,3,FALSE),RIGHT(BASE!E165,9))</f>
        <v>XSVS00EUPC1000ZZZ</v>
      </c>
      <c r="F166" s="271"/>
      <c r="G166" s="271"/>
      <c r="H166" s="271"/>
      <c r="I166" s="271"/>
      <c r="J166" s="271"/>
      <c r="K166" s="271"/>
    </row>
    <row r="167" spans="1:11">
      <c r="A167" s="44" t="s">
        <v>90</v>
      </c>
      <c r="B167" s="74"/>
      <c r="C167" s="74"/>
      <c r="D167" s="74"/>
      <c r="E167" s="74"/>
      <c r="F167" s="74"/>
      <c r="G167" s="74"/>
      <c r="H167" s="74"/>
      <c r="I167" s="74"/>
      <c r="J167" s="74"/>
      <c r="K167" s="74"/>
    </row>
    <row r="168" spans="1:11">
      <c r="A168" s="44" t="s">
        <v>278</v>
      </c>
      <c r="B168" s="49"/>
      <c r="C168" s="50"/>
      <c r="D168" s="35"/>
      <c r="E168" s="36"/>
      <c r="F168" s="35"/>
      <c r="G168" s="36"/>
      <c r="H168" s="35"/>
      <c r="I168" s="36"/>
      <c r="J168" s="35"/>
      <c r="K168" s="36"/>
    </row>
    <row r="169" spans="1:11">
      <c r="A169" s="258" t="s">
        <v>485</v>
      </c>
      <c r="B169" s="258"/>
      <c r="C169" s="258"/>
      <c r="D169" s="258"/>
      <c r="E169" s="258"/>
      <c r="F169" s="258"/>
      <c r="G169" s="258"/>
      <c r="H169" s="258"/>
      <c r="I169" s="258"/>
      <c r="J169" s="258"/>
      <c r="K169" s="258"/>
    </row>
    <row r="170" spans="1:11">
      <c r="A170" s="44" t="str">
        <f>IF(OR('Perpetual Pricing'!$J$1="US-USD", 'Perpetual Pricing'!$J$1="Canada-CAD",'Perpetual Pricing'!$J$1="Canada-French-CAD"),"","")</f>
        <v/>
      </c>
      <c r="B170" s="74"/>
      <c r="C170" s="74"/>
      <c r="D170" s="74"/>
      <c r="E170" s="74"/>
      <c r="F170" s="74"/>
      <c r="G170" s="74"/>
      <c r="H170" s="74"/>
      <c r="I170" s="74"/>
      <c r="J170" s="74"/>
      <c r="K170" s="74"/>
    </row>
    <row r="171" spans="1:1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</row>
    <row r="172" spans="1:11" ht="20.25">
      <c r="A172" s="215" t="s">
        <v>517</v>
      </c>
      <c r="B172" s="19"/>
      <c r="C172" s="19"/>
      <c r="D172" s="4"/>
      <c r="E172" s="20"/>
      <c r="F172" s="1"/>
      <c r="G172" s="9"/>
      <c r="H172" s="1"/>
      <c r="I172" s="9"/>
      <c r="J172" s="1"/>
      <c r="K172" s="13"/>
    </row>
    <row r="173" spans="1:11" ht="20.25">
      <c r="A173" s="215" t="s">
        <v>79</v>
      </c>
      <c r="B173" s="19"/>
      <c r="C173" s="19"/>
      <c r="D173" s="4"/>
      <c r="E173" s="20"/>
      <c r="F173" s="1"/>
      <c r="G173" s="9"/>
      <c r="H173" s="1"/>
      <c r="I173" s="9"/>
      <c r="J173" s="1"/>
      <c r="K173" s="13"/>
    </row>
    <row r="174" spans="1:11" ht="15.75" customHeight="1">
      <c r="A174" s="253" t="s">
        <v>2</v>
      </c>
      <c r="B174" s="253"/>
      <c r="C174" s="254"/>
      <c r="D174" s="259" t="str">
        <f>CONCATENATE(IF('Perpetual Pricing'!$J$2="Standard",HLOOKUP($U$1,Phrasing!A:A,48,FALSE),IF('Perpetual Pricing'!$J$2="Gov/Edu/NonProfit",HLOOKUP($U$1,Phrasing!A:A,49,FALSE),"???"))," - ",$J$3,, " - ",VLOOKUP($J$3,PARTNERPROGRAM!$U$5:$V$9,2,FALSE))</f>
        <v>Standard Pricing - Non Partner - SRP</v>
      </c>
      <c r="E174" s="259"/>
      <c r="F174" s="259"/>
      <c r="G174" s="259"/>
      <c r="H174" s="260"/>
      <c r="I174" s="260"/>
      <c r="J174" s="259"/>
      <c r="K174" s="259"/>
    </row>
    <row r="175" spans="1:11" ht="12.75" customHeight="1">
      <c r="A175" s="253"/>
      <c r="B175" s="253"/>
      <c r="C175" s="254"/>
      <c r="D175" s="235" t="str">
        <f>HLOOKUP($U$1,Phrasing!A:A,40,FALSE)</f>
        <v>New</v>
      </c>
      <c r="E175" s="236"/>
      <c r="F175" s="237" t="str">
        <f>HLOOKUP($U$1,Phrasing!A:A,158,FALSE)</f>
        <v>Upgrade</v>
      </c>
      <c r="G175" s="238"/>
      <c r="H175" s="230" t="str">
        <f>HLOOKUP($U$1,Phrasing!A:A,170,FALSE)</f>
        <v>1Yr Maintenance</v>
      </c>
      <c r="I175" s="231"/>
      <c r="J175" s="239" t="str">
        <f>HLOOKUP($U$1,Phrasing!A:A,45,FALSE)</f>
        <v>Premium Support</v>
      </c>
      <c r="K175" s="240"/>
    </row>
    <row r="176" spans="1:11">
      <c r="A176" s="253"/>
      <c r="B176" s="253"/>
      <c r="C176" s="254"/>
      <c r="D176" s="243" t="str">
        <f>HLOOKUP($U$1,Phrasing!A:A,23,FALSE)</f>
        <v>Includes one year of Maintenance</v>
      </c>
      <c r="E176" s="244"/>
      <c r="F176" s="245" t="str">
        <f>HLOOKUP($U$1,Phrasing!A:A,23,FALSE)</f>
        <v>Includes one year of Maintenance</v>
      </c>
      <c r="G176" s="246"/>
      <c r="H176" s="228" t="str">
        <f>HLOOKUP($U$1,Phrasing!A:A,171,FALSE)</f>
        <v>Renewal</v>
      </c>
      <c r="I176" s="229"/>
      <c r="J176" s="241"/>
      <c r="K176" s="242"/>
    </row>
    <row r="177" spans="1:11">
      <c r="A177" s="255"/>
      <c r="B177" s="255"/>
      <c r="C177" s="256"/>
      <c r="D177" s="100" t="str">
        <f>CONCATENATE(HLOOKUP($U$1,Phrasing!A:A,46,FALSE),": ",VLOOKUP('Perpetual Pricing'!$J$1,XE!$A:$B,2,FALSE))</f>
        <v>Price: EUR</v>
      </c>
      <c r="E177" s="75" t="str">
        <f>HLOOKUP($U$1,Phrasing!A:A,43,FALSE)</f>
        <v>Part Number</v>
      </c>
      <c r="F177" s="100" t="s">
        <v>12</v>
      </c>
      <c r="G177" s="75" t="str">
        <f>HLOOKUP($U$1,Phrasing!A:A,43,FALSE)</f>
        <v>Part Number</v>
      </c>
      <c r="H177" s="99" t="s">
        <v>12</v>
      </c>
      <c r="I177" s="72" t="str">
        <f>HLOOKUP($U$1,Phrasing!A:A,43,FALSE)</f>
        <v>Part Number</v>
      </c>
      <c r="J177" s="99" t="s">
        <v>12</v>
      </c>
      <c r="K177" s="72" t="str">
        <f>HLOOKUP($U$1,Phrasing!A:A,43,FALSE)</f>
        <v>Part Number</v>
      </c>
    </row>
    <row r="178" spans="1:11">
      <c r="A178" s="257" t="s">
        <v>331</v>
      </c>
      <c r="B178" s="257"/>
      <c r="C178" s="257"/>
      <c r="D178" s="85" t="str">
        <f>D164</f>
        <v>205,1400</v>
      </c>
      <c r="E178" s="42" t="str">
        <f>CONCATENATE(LEFT(BASE!E177,6),VLOOKUP('Perpetual Pricing'!$J$1,XE!$A:$C,3,FALSE),RIGHT(BASE!E177,9))</f>
        <v>XSVW00EUPC0100ZZZ</v>
      </c>
      <c r="F178" s="273" t="s">
        <v>84</v>
      </c>
      <c r="G178" s="274"/>
      <c r="H178" s="270" t="s">
        <v>85</v>
      </c>
      <c r="I178" s="271"/>
      <c r="J178" s="270" t="s">
        <v>86</v>
      </c>
      <c r="K178" s="271"/>
    </row>
    <row r="179" spans="1:11">
      <c r="A179" s="257" t="s">
        <v>336</v>
      </c>
      <c r="B179" s="257"/>
      <c r="C179" s="257"/>
      <c r="D179" s="85" t="str">
        <f>D165</f>
        <v>516,7400</v>
      </c>
      <c r="E179" s="42" t="str">
        <f>CONCATENATE(LEFT(BASE!E178,6),VLOOKUP('Perpetual Pricing'!$J$1,XE!$A:$C,3,FALSE),RIGHT(BASE!E178,9))</f>
        <v>XSVW00EUPC0300ZZZ</v>
      </c>
      <c r="F179" s="271"/>
      <c r="G179" s="271"/>
      <c r="H179" s="271"/>
      <c r="I179" s="271"/>
      <c r="J179" s="271"/>
      <c r="K179" s="271"/>
    </row>
    <row r="180" spans="1:11">
      <c r="A180" s="257" t="s">
        <v>341</v>
      </c>
      <c r="B180" s="257"/>
      <c r="C180" s="257"/>
      <c r="D180" s="85" t="str">
        <f>D166</f>
        <v>1243,8100</v>
      </c>
      <c r="E180" s="42" t="str">
        <f>CONCATENATE(LEFT(BASE!E179,6),VLOOKUP('Perpetual Pricing'!$J$1,XE!$A:$C,3,FALSE),RIGHT(BASE!E179,9))</f>
        <v>XSVW00EUPC1000ZZZ</v>
      </c>
      <c r="F180" s="271"/>
      <c r="G180" s="271"/>
      <c r="H180" s="271"/>
      <c r="I180" s="271"/>
      <c r="J180" s="271"/>
      <c r="K180" s="271"/>
    </row>
    <row r="181" spans="1:11">
      <c r="A181" s="44" t="s">
        <v>90</v>
      </c>
      <c r="B181" s="74"/>
      <c r="C181" s="74"/>
      <c r="D181" s="74"/>
      <c r="E181" s="74"/>
      <c r="F181" s="74"/>
      <c r="G181" s="74"/>
      <c r="H181" s="74"/>
      <c r="I181" s="74"/>
      <c r="J181" s="74"/>
      <c r="K181" s="74"/>
    </row>
    <row r="182" spans="1:11">
      <c r="A182" s="14" t="s">
        <v>278</v>
      </c>
      <c r="B182" s="7"/>
      <c r="C182" s="8"/>
      <c r="D182" s="1"/>
      <c r="E182" s="9"/>
      <c r="F182" s="1"/>
      <c r="G182" s="9"/>
      <c r="H182" s="1"/>
      <c r="I182" s="9"/>
      <c r="J182" s="1"/>
      <c r="K182" s="9"/>
    </row>
    <row r="183" spans="1:11">
      <c r="A183" s="258" t="s">
        <v>485</v>
      </c>
      <c r="B183" s="258"/>
      <c r="C183" s="258"/>
      <c r="D183" s="258"/>
      <c r="E183" s="258"/>
      <c r="F183" s="258"/>
      <c r="G183" s="258"/>
      <c r="H183" s="258"/>
      <c r="I183" s="258"/>
      <c r="J183" s="258"/>
      <c r="K183" s="258"/>
    </row>
    <row r="184" spans="1:11">
      <c r="A184" s="44" t="str">
        <f>IF(OR('Perpetual Pricing'!$J$1="US-USD", 'Perpetual Pricing'!$J$1="Canada-CAD",'Perpetual Pricing'!$J$1="Canada-French-CAD"),"","")</f>
        <v/>
      </c>
      <c r="B184" s="10"/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1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</row>
    <row r="186" spans="1:11" ht="20.25">
      <c r="A186" s="215" t="s">
        <v>535</v>
      </c>
      <c r="B186" s="19"/>
      <c r="C186" s="19"/>
      <c r="D186" s="4"/>
      <c r="E186" s="20"/>
      <c r="F186" s="1"/>
      <c r="G186" s="9"/>
      <c r="H186" s="1"/>
      <c r="I186" s="9"/>
      <c r="J186" s="1"/>
      <c r="K186" s="13"/>
    </row>
    <row r="187" spans="1:11" ht="15.75" customHeight="1">
      <c r="A187" s="253" t="s">
        <v>2</v>
      </c>
      <c r="B187" s="253"/>
      <c r="C187" s="254"/>
      <c r="D187" s="259" t="str">
        <f>CONCATENATE(IF('Perpetual Pricing'!$J$2="Standard",HLOOKUP($U$1,Phrasing!A:A,48,FALSE),IF('Perpetual Pricing'!$J$2="Gov/Edu/NonProfit",HLOOKUP($U$1,Phrasing!A:A,49,FALSE),"???"))," - ",$J$3,, " - ",VLOOKUP($J$3,PARTNERPROGRAM!$U$5:$V$9,2,FALSE))</f>
        <v>Standard Pricing - Non Partner - SRP</v>
      </c>
      <c r="E187" s="259"/>
      <c r="F187" s="259"/>
      <c r="G187" s="259"/>
      <c r="H187" s="260"/>
      <c r="I187" s="260"/>
      <c r="J187" s="259"/>
      <c r="K187" s="259"/>
    </row>
    <row r="188" spans="1:11" ht="12.75" customHeight="1">
      <c r="A188" s="253"/>
      <c r="B188" s="253"/>
      <c r="C188" s="254"/>
      <c r="D188" s="235" t="str">
        <f>HLOOKUP($U$1,Phrasing!A:A,40,FALSE)</f>
        <v>New</v>
      </c>
      <c r="E188" s="236"/>
      <c r="F188" s="237" t="str">
        <f>HLOOKUP($U$1,Phrasing!A:A,158,FALSE)</f>
        <v>Upgrade</v>
      </c>
      <c r="G188" s="238"/>
      <c r="H188" s="230" t="str">
        <f>HLOOKUP($U$1,Phrasing!A:A,170,FALSE)</f>
        <v>1Yr Maintenance</v>
      </c>
      <c r="I188" s="231"/>
      <c r="J188" s="239" t="str">
        <f>HLOOKUP($U$1,Phrasing!A:A,45,FALSE)</f>
        <v>Premium Support</v>
      </c>
      <c r="K188" s="240"/>
    </row>
    <row r="189" spans="1:11">
      <c r="A189" s="253"/>
      <c r="B189" s="253"/>
      <c r="C189" s="254"/>
      <c r="D189" s="243" t="str">
        <f>HLOOKUP($U$1,Phrasing!A:A,23,FALSE)</f>
        <v>Includes one year of Maintenance</v>
      </c>
      <c r="E189" s="244"/>
      <c r="F189" s="245" t="str">
        <f>HLOOKUP($U$1,Phrasing!A:A,23,FALSE)</f>
        <v>Includes one year of Maintenance</v>
      </c>
      <c r="G189" s="246"/>
      <c r="H189" s="228" t="str">
        <f>HLOOKUP($U$1,Phrasing!A:A,171,FALSE)</f>
        <v>Renewal</v>
      </c>
      <c r="I189" s="229"/>
      <c r="J189" s="241"/>
      <c r="K189" s="242"/>
    </row>
    <row r="190" spans="1:11">
      <c r="A190" s="255"/>
      <c r="B190" s="255"/>
      <c r="C190" s="256"/>
      <c r="D190" s="100" t="str">
        <f>CONCATENATE(HLOOKUP($U$1,Phrasing!A:A,46,FALSE),": ",VLOOKUP('Perpetual Pricing'!$J$1,XE!$A:$B,2,FALSE))</f>
        <v>Price: EUR</v>
      </c>
      <c r="E190" s="75" t="str">
        <f>HLOOKUP($U$1,Phrasing!A:A,43,FALSE)</f>
        <v>Part Number</v>
      </c>
      <c r="F190" s="100" t="str">
        <f>CONCATENATE(HLOOKUP($U$1,Phrasing!A:A,46,FALSE),": ",VLOOKUP('Perpetual Pricing'!$J$1,XE!$A:$B,2,FALSE))</f>
        <v>Price: EUR</v>
      </c>
      <c r="G190" s="75" t="str">
        <f>HLOOKUP($U$1,Phrasing!A:A,43,FALSE)</f>
        <v>Part Number</v>
      </c>
      <c r="H190" s="100" t="str">
        <f>CONCATENATE(HLOOKUP($U$1,Phrasing!A:A,46,FALSE),": ",VLOOKUP('Perpetual Pricing'!$J$1,XE!$A:$B,2,FALSE))</f>
        <v>Price: EUR</v>
      </c>
      <c r="I190" s="72" t="str">
        <f>HLOOKUP($U$1,Phrasing!A:A,43,FALSE)</f>
        <v>Part Number</v>
      </c>
      <c r="J190" s="100" t="str">
        <f>CONCATENATE(HLOOKUP($U$1,Phrasing!A:A,46,FALSE),": ",VLOOKUP('Perpetual Pricing'!$J$1,XE!$A:$B,2,FALSE))</f>
        <v>Price: EUR</v>
      </c>
      <c r="K190" s="72" t="str">
        <f>HLOOKUP($U$1,Phrasing!A:A,43,FALSE)</f>
        <v>Part Number</v>
      </c>
    </row>
    <row r="191" spans="1:11">
      <c r="A191" s="277" t="s">
        <v>369</v>
      </c>
      <c r="B191" s="277"/>
      <c r="C191" s="277"/>
      <c r="D191" s="85" t="str">
        <f>TEXT(ROUND(VLOOKUP('Perpetual Pricing'!$J$2,XE!$M$5:$N$6,2,FALSE)*BASE!D190*VLOOKUP('Perpetual Pricing'!$J$1,XE!$A:$F,6,FALSE)* (HLOOKUP($J$3,PARTNERPROGRAM!$D$7:$H$8,2,FALSE)),VLOOKUP('Perpetual Pricing'!$J$1,XE!$A:$H,8,FALSE)),VLOOKUP('Perpetual Pricing'!$J$1,XE!$A:$G,7,FALSE))</f>
        <v>204,8300</v>
      </c>
      <c r="E191" s="42" t="str">
        <f>CONCATENATE(LEFT(BASE!E190,6),VLOOKUP('Perpetual Pricing'!$J$1,XE!$A:$C,3,FALSE),MID(BASE!E190,9,1),IF('Perpetual Pricing'!$J$2="Standard","S","G"),RIGHT(BASE!E190,7))</f>
        <v>KXWK00EUPS0600ZZZ</v>
      </c>
      <c r="F191" s="85" t="str">
        <f>TEXT(ROUND(VLOOKUP('Perpetual Pricing'!$J$2,XE!$M$5:$N$6,2,FALSE)*BASE!F190*VLOOKUP('Perpetual Pricing'!$J$1,XE!$A:$F,6,FALSE)* (HLOOKUP($J$3,PARTNERPROGRAM!$D$7:$H$8,2,FALSE)),VLOOKUP('Perpetual Pricing'!$J$1,XE!$A:$H,8,FALSE)),VLOOKUP('Perpetual Pricing'!$J$1,XE!$A:$G,7,FALSE))</f>
        <v>102,4100</v>
      </c>
      <c r="G191" s="42" t="str">
        <f>CONCATENATE(LEFT(BASE!G190,6),VLOOKUP('Perpetual Pricing'!$J$1,XE!$A:$C,3,FALSE),MID(BASE!G190,9,1),IF('Perpetual Pricing'!$J$2="Standard","S","G"),RIGHT(BASE!G190,7))</f>
        <v>KXWK00EUUS0600ZZZ</v>
      </c>
      <c r="H191" s="85" t="str">
        <f>TEXT(ROUND(VLOOKUP('Perpetual Pricing'!$J$2,XE!$M$5:$N$6,2,FALSE)*BASE!H190*VLOOKUP('Perpetual Pricing'!$J$1,XE!$A:$F,6,FALSE)* (HLOOKUP($J$3,PARTNERPROGRAM!$D$7:$H$8,2,FALSE)),VLOOKUP('Perpetual Pricing'!$J$1,XE!$A:$H,8,FALSE)),VLOOKUP('Perpetual Pricing'!$J$1,XE!$A:$G,7,FALSE))</f>
        <v>40,9600</v>
      </c>
      <c r="I191" s="42" t="str">
        <f>CONCATENATE(LEFT(BASE!I190,6),VLOOKUP('Perpetual Pricing'!$J$1,XE!$A:$C,3,FALSE),MID(BASE!I190,9,1),IF('Perpetual Pricing'!$J$2="Standard","S","G"),RIGHT(BASE!I190,7))</f>
        <v>KXWK00EUMS061YZZZ</v>
      </c>
      <c r="J191" s="77" t="s">
        <v>40</v>
      </c>
      <c r="K191" s="81" t="s">
        <v>40</v>
      </c>
    </row>
    <row r="192" spans="1:11">
      <c r="A192" s="277" t="s">
        <v>373</v>
      </c>
      <c r="B192" s="277"/>
      <c r="C192" s="277"/>
      <c r="D192" s="85" t="str">
        <f>TEXT(ROUND(VLOOKUP('Perpetual Pricing'!$J$2,XE!$M$5:$N$6,2,FALSE)*BASE!D191*VLOOKUP('Perpetual Pricing'!$J$1,XE!$A:$F,6,FALSE)* (HLOOKUP($J$3,PARTNERPROGRAM!$D$7:$H$8,2,FALSE)),VLOOKUP('Perpetual Pricing'!$J$1,XE!$A:$H,8,FALSE)),VLOOKUP('Perpetual Pricing'!$J$1,XE!$A:$G,7,FALSE))</f>
        <v>389,6400</v>
      </c>
      <c r="E192" s="42" t="str">
        <f>CONCATENATE(LEFT(BASE!E191,6),VLOOKUP('Perpetual Pricing'!$J$1,XE!$A:$C,3,FALSE),MID(BASE!E191,9,1),IF('Perpetual Pricing'!$J$2="Standard","S","G"),RIGHT(BASE!E191,7))</f>
        <v>KXWK00EUPS1200ZZZ</v>
      </c>
      <c r="F192" s="85" t="str">
        <f>TEXT(ROUND(VLOOKUP('Perpetual Pricing'!$J$2,XE!$M$5:$N$6,2,FALSE)*BASE!F191*VLOOKUP('Perpetual Pricing'!$J$1,XE!$A:$F,6,FALSE)* (HLOOKUP($J$3,PARTNERPROGRAM!$D$7:$H$8,2,FALSE)),VLOOKUP('Perpetual Pricing'!$J$1,XE!$A:$H,8,FALSE)),VLOOKUP('Perpetual Pricing'!$J$1,XE!$A:$G,7,FALSE))</f>
        <v>194,8200</v>
      </c>
      <c r="G192" s="42" t="str">
        <f>CONCATENATE(LEFT(BASE!G191,6),VLOOKUP('Perpetual Pricing'!$J$1,XE!$A:$C,3,FALSE),MID(BASE!G191,9,1),IF('Perpetual Pricing'!$J$2="Standard","S","G"),RIGHT(BASE!G191,7))</f>
        <v>KXWK00EUUS1200ZZZ</v>
      </c>
      <c r="H192" s="85" t="str">
        <f>TEXT(ROUND(VLOOKUP('Perpetual Pricing'!$J$2,XE!$M$5:$N$6,2,FALSE)*BASE!H191*VLOOKUP('Perpetual Pricing'!$J$1,XE!$A:$F,6,FALSE)* (HLOOKUP($J$3,PARTNERPROGRAM!$D$7:$H$8,2,FALSE)),VLOOKUP('Perpetual Pricing'!$J$1,XE!$A:$H,8,FALSE)),VLOOKUP('Perpetual Pricing'!$J$1,XE!$A:$G,7,FALSE))</f>
        <v>77,9200</v>
      </c>
      <c r="I192" s="42" t="str">
        <f>CONCATENATE(LEFT(BASE!I191,6),VLOOKUP('Perpetual Pricing'!$J$1,XE!$A:$C,3,FALSE),MID(BASE!I191,9,1),IF('Perpetual Pricing'!$J$2="Standard","S","G"),RIGHT(BASE!I191,7))</f>
        <v>KXWK00EUMS121YZZZ</v>
      </c>
      <c r="J192" s="85" t="str">
        <f>TEXT(ROUND(VLOOKUP('Perpetual Pricing'!$J$2,XE!$M$5:$N$6,2,FALSE)*BASE!J191*VLOOKUP('Perpetual Pricing'!$J$1,XE!$A:$F,6,FALSE)* (HLOOKUP($J$3,PARTNERPROGRAM!$D$7:$H$8,2,FALSE)),VLOOKUP('Perpetual Pricing'!$J$1,XE!$A:$H,8,FALSE)),VLOOKUP('Perpetual Pricing'!$J$1,XE!$A:$G,7,FALSE))</f>
        <v>58,4500</v>
      </c>
      <c r="K192" s="42" t="str">
        <f>CONCATENATE(LEFT(BASE!K191,6),VLOOKUP('Perpetual Pricing'!$J$1,XE!$A:$C,3,FALSE),MID(BASE!K191,9,1),IF('Perpetual Pricing'!$J$2="Standard","S","G"),RIGHT(BASE!K191,7))</f>
        <v>KXWK00EUSS121YZZZ</v>
      </c>
    </row>
    <row r="193" spans="1:11">
      <c r="A193" s="277" t="s">
        <v>378</v>
      </c>
      <c r="B193" s="277"/>
      <c r="C193" s="277"/>
      <c r="D193" s="85" t="str">
        <f>TEXT(ROUND(VLOOKUP('Perpetual Pricing'!$J$2,XE!$M$5:$N$6,2,FALSE)*BASE!D192*VLOOKUP('Perpetual Pricing'!$J$1,XE!$A:$F,6,FALSE)* (HLOOKUP($J$3,PARTNERPROGRAM!$D$7:$H$8,2,FALSE)),VLOOKUP('Perpetual Pricing'!$J$1,XE!$A:$H,8,FALSE)),VLOOKUP('Perpetual Pricing'!$J$1,XE!$A:$G,7,FALSE))</f>
        <v>744,4400</v>
      </c>
      <c r="E193" s="42" t="str">
        <f>CONCATENATE(LEFT(BASE!E192,6),VLOOKUP('Perpetual Pricing'!$J$1,XE!$A:$C,3,FALSE),MID(BASE!E192,9,1),IF('Perpetual Pricing'!$J$2="Standard","S","G"),RIGHT(BASE!E192,7))</f>
        <v>KXWK00EUPS2400ZZZ</v>
      </c>
      <c r="F193" s="85" t="str">
        <f>TEXT(ROUND(VLOOKUP('Perpetual Pricing'!$J$2,XE!$M$5:$N$6,2,FALSE)*BASE!F192*VLOOKUP('Perpetual Pricing'!$J$1,XE!$A:$F,6,FALSE)* (HLOOKUP($J$3,PARTNERPROGRAM!$D$7:$H$8,2,FALSE)),VLOOKUP('Perpetual Pricing'!$J$1,XE!$A:$H,8,FALSE)),VLOOKUP('Perpetual Pricing'!$J$1,XE!$A:$G,7,FALSE))</f>
        <v>372,2200</v>
      </c>
      <c r="G193" s="42" t="str">
        <f>CONCATENATE(LEFT(BASE!G192,6),VLOOKUP('Perpetual Pricing'!$J$1,XE!$A:$C,3,FALSE),MID(BASE!G192,9,1),IF('Perpetual Pricing'!$J$2="Standard","S","G"),RIGHT(BASE!G192,7))</f>
        <v>KXWK00EUUS2400ZZZ</v>
      </c>
      <c r="H193" s="85" t="str">
        <f>TEXT(ROUND(VLOOKUP('Perpetual Pricing'!$J$2,XE!$M$5:$N$6,2,FALSE)*BASE!H192*VLOOKUP('Perpetual Pricing'!$J$1,XE!$A:$F,6,FALSE)* (HLOOKUP($J$3,PARTNERPROGRAM!$D$7:$H$8,2,FALSE)),VLOOKUP('Perpetual Pricing'!$J$1,XE!$A:$H,8,FALSE)),VLOOKUP('Perpetual Pricing'!$J$1,XE!$A:$G,7,FALSE))</f>
        <v>148,8900</v>
      </c>
      <c r="I193" s="42" t="str">
        <f>CONCATENATE(LEFT(BASE!I192,6),VLOOKUP('Perpetual Pricing'!$J$1,XE!$A:$C,3,FALSE),MID(BASE!I192,9,1),IF('Perpetual Pricing'!$J$2="Standard","S","G"),RIGHT(BASE!I192,7))</f>
        <v>KXWK00EUMS241YZZZ</v>
      </c>
      <c r="J193" s="85" t="str">
        <f>TEXT(ROUND(VLOOKUP('Perpetual Pricing'!$J$2,XE!$M$5:$N$6,2,FALSE)*BASE!J192*VLOOKUP('Perpetual Pricing'!$J$1,XE!$A:$F,6,FALSE)* (HLOOKUP($J$3,PARTNERPROGRAM!$D$7:$H$8,2,FALSE)),VLOOKUP('Perpetual Pricing'!$J$1,XE!$A:$H,8,FALSE)),VLOOKUP('Perpetual Pricing'!$J$1,XE!$A:$G,7,FALSE))</f>
        <v>111,6700</v>
      </c>
      <c r="K193" s="42" t="str">
        <f>CONCATENATE(LEFT(BASE!K192,6),VLOOKUP('Perpetual Pricing'!$J$1,XE!$A:$C,3,FALSE),MID(BASE!K192,9,1),IF('Perpetual Pricing'!$J$2="Standard","S","G"),RIGHT(BASE!K192,7))</f>
        <v>KXWK00EUSS241YZZZ</v>
      </c>
    </row>
    <row r="194" spans="1:11">
      <c r="A194" s="277" t="s">
        <v>383</v>
      </c>
      <c r="B194" s="277"/>
      <c r="C194" s="277"/>
      <c r="D194" s="85" t="str">
        <f>TEXT(ROUND(VLOOKUP('Perpetual Pricing'!$J$2,XE!$M$5:$N$6,2,FALSE)*BASE!D193*VLOOKUP('Perpetual Pricing'!$J$1,XE!$A:$F,6,FALSE)* (HLOOKUP($J$3,PARTNERPROGRAM!$D$7:$H$8,2,FALSE)),VLOOKUP('Perpetual Pricing'!$J$1,XE!$A:$H,8,FALSE)),VLOOKUP('Perpetual Pricing'!$J$1,XE!$A:$G,7,FALSE))</f>
        <v>1378,0700</v>
      </c>
      <c r="E194" s="42" t="str">
        <f>CONCATENATE(LEFT(BASE!E193,6),VLOOKUP('Perpetual Pricing'!$J$1,XE!$A:$C,3,FALSE),MID(BASE!E193,9,1),IF('Perpetual Pricing'!$J$2="Standard","S","G"),RIGHT(BASE!E193,7))</f>
        <v>KXWK00EUPS5000ZZZ</v>
      </c>
      <c r="F194" s="85" t="str">
        <f>TEXT(ROUND(VLOOKUP('Perpetual Pricing'!$J$2,XE!$M$5:$N$6,2,FALSE)*BASE!F193*VLOOKUP('Perpetual Pricing'!$J$1,XE!$A:$F,6,FALSE)* (HLOOKUP($J$3,PARTNERPROGRAM!$D$7:$H$8,2,FALSE)),VLOOKUP('Perpetual Pricing'!$J$1,XE!$A:$H,8,FALSE)),VLOOKUP('Perpetual Pricing'!$J$1,XE!$A:$G,7,FALSE))</f>
        <v>689,0400</v>
      </c>
      <c r="G194" s="42" t="str">
        <f>CONCATENATE(LEFT(BASE!G193,6),VLOOKUP('Perpetual Pricing'!$J$1,XE!$A:$C,3,FALSE),MID(BASE!G193,9,1),IF('Perpetual Pricing'!$J$2="Standard","S","G"),RIGHT(BASE!G193,7))</f>
        <v>KXWK00EUUS5000ZZZ</v>
      </c>
      <c r="H194" s="85" t="str">
        <f>TEXT(ROUND(VLOOKUP('Perpetual Pricing'!$J$2,XE!$M$5:$N$6,2,FALSE)*BASE!H193*VLOOKUP('Perpetual Pricing'!$J$1,XE!$A:$F,6,FALSE)* (HLOOKUP($J$3,PARTNERPROGRAM!$D$7:$H$8,2,FALSE)),VLOOKUP('Perpetual Pricing'!$J$1,XE!$A:$H,8,FALSE)),VLOOKUP('Perpetual Pricing'!$J$1,XE!$A:$G,7,FALSE))</f>
        <v>275,6200</v>
      </c>
      <c r="I194" s="42" t="str">
        <f>CONCATENATE(LEFT(BASE!I193,6),VLOOKUP('Perpetual Pricing'!$J$1,XE!$A:$C,3,FALSE),MID(BASE!I193,9,1),IF('Perpetual Pricing'!$J$2="Standard","S","G"),RIGHT(BASE!I193,7))</f>
        <v>KXWK00EUMS501YZZZ</v>
      </c>
      <c r="J194" s="85" t="str">
        <f>TEXT(ROUND(VLOOKUP('Perpetual Pricing'!$J$2,XE!$M$5:$N$6,2,FALSE)*BASE!J193*VLOOKUP('Perpetual Pricing'!$J$1,XE!$A:$F,6,FALSE)* (HLOOKUP($J$3,PARTNERPROGRAM!$D$7:$H$8,2,FALSE)),VLOOKUP('Perpetual Pricing'!$J$1,XE!$A:$H,8,FALSE)),VLOOKUP('Perpetual Pricing'!$J$1,XE!$A:$G,7,FALSE))</f>
        <v>206,7100</v>
      </c>
      <c r="K194" s="42" t="str">
        <f>CONCATENATE(LEFT(BASE!K193,6),VLOOKUP('Perpetual Pricing'!$J$1,XE!$A:$C,3,FALSE),MID(BASE!K193,9,1),IF('Perpetual Pricing'!$J$2="Standard","S","G"),RIGHT(BASE!K193,7))</f>
        <v>KXWK00EUSS501YZZZ</v>
      </c>
    </row>
    <row r="195" spans="1:11">
      <c r="A195" s="44" t="s">
        <v>278</v>
      </c>
      <c r="B195" s="49"/>
      <c r="C195" s="50"/>
      <c r="D195" s="35"/>
      <c r="E195" s="36"/>
      <c r="F195" s="35"/>
      <c r="G195" s="36"/>
      <c r="H195" s="35"/>
      <c r="I195" s="36"/>
      <c r="J195" s="35"/>
      <c r="K195" s="36"/>
    </row>
    <row r="196" spans="1:11">
      <c r="A196" s="258" t="s">
        <v>485</v>
      </c>
      <c r="B196" s="258"/>
      <c r="C196" s="258"/>
      <c r="D196" s="258"/>
      <c r="E196" s="258"/>
      <c r="F196" s="258"/>
      <c r="G196" s="258"/>
      <c r="H196" s="258"/>
      <c r="I196" s="258"/>
      <c r="J196" s="258"/>
      <c r="K196" s="258"/>
    </row>
    <row r="197" spans="1:11">
      <c r="A197" s="95"/>
      <c r="B197" s="95"/>
      <c r="C197" s="95"/>
      <c r="D197" s="95"/>
      <c r="E197" s="95"/>
      <c r="F197" s="95"/>
      <c r="G197" s="95"/>
      <c r="H197" s="95"/>
      <c r="I197" s="95"/>
      <c r="J197" s="95"/>
      <c r="K197" s="95"/>
    </row>
    <row r="198" spans="1:11" ht="20.25">
      <c r="A198" s="215" t="s">
        <v>78</v>
      </c>
      <c r="B198" s="11"/>
      <c r="C198" s="11"/>
      <c r="D198" s="12"/>
      <c r="E198" s="9"/>
      <c r="F198" s="1"/>
      <c r="G198" s="9"/>
      <c r="H198" s="1"/>
      <c r="I198" s="9"/>
      <c r="J198" s="1"/>
      <c r="K198" s="13"/>
    </row>
    <row r="199" spans="1:11" ht="15.75" customHeight="1">
      <c r="A199" s="253" t="str">
        <f>HLOOKUP($U$1,Phrasing!A:A,20,FALSE)</f>
        <v>First year of maintenance is included in the purchase price.  *Premium Support requires an active Maintenance Agreement.</v>
      </c>
      <c r="B199" s="253"/>
      <c r="C199" s="254"/>
      <c r="D199" s="259" t="str">
        <f>CONCATENATE(IF('Perpetual Pricing'!$J$2="Standard",HLOOKUP($U$1,Phrasing!A:A,48,FALSE),IF('Perpetual Pricing'!$J$2="Gov/Edu/NonProfit",HLOOKUP($U$1,Phrasing!A:A,49,FALSE),"???"))," - ",$J$3,, " - ",VLOOKUP($J$3,PARTNERPROGRAM!$U$5:$V$9,2,FALSE))</f>
        <v>Standard Pricing - Non Partner - SRP</v>
      </c>
      <c r="E199" s="259"/>
      <c r="F199" s="259"/>
      <c r="G199" s="259"/>
      <c r="H199" s="260"/>
      <c r="I199" s="260"/>
      <c r="J199" s="259"/>
      <c r="K199" s="259"/>
    </row>
    <row r="200" spans="1:11" ht="12.75" customHeight="1">
      <c r="A200" s="253"/>
      <c r="B200" s="253"/>
      <c r="C200" s="254"/>
      <c r="D200" s="235" t="str">
        <f>HLOOKUP($U$1,Phrasing!A:A,40,FALSE)</f>
        <v>New</v>
      </c>
      <c r="E200" s="236"/>
      <c r="F200" s="237" t="str">
        <f>HLOOKUP($U$1,Phrasing!A:A,158,FALSE)</f>
        <v>Upgrade</v>
      </c>
      <c r="G200" s="238"/>
      <c r="H200" s="230" t="str">
        <f>HLOOKUP($U$1,Phrasing!A:A,170,FALSE)</f>
        <v>1Yr Maintenance</v>
      </c>
      <c r="I200" s="231"/>
      <c r="J200" s="239" t="str">
        <f>HLOOKUP($U$1,Phrasing!A:A,45,FALSE)</f>
        <v>Premium Support</v>
      </c>
      <c r="K200" s="240"/>
    </row>
    <row r="201" spans="1:11">
      <c r="A201" s="255"/>
      <c r="B201" s="255"/>
      <c r="C201" s="256"/>
      <c r="D201" s="243" t="str">
        <f>HLOOKUP($U$1,Phrasing!A:A,23,FALSE)</f>
        <v>Includes one year of Maintenance</v>
      </c>
      <c r="E201" s="244"/>
      <c r="F201" s="245" t="str">
        <f>HLOOKUP($U$1,Phrasing!A:A,23,FALSE)</f>
        <v>Includes one year of Maintenance</v>
      </c>
      <c r="G201" s="246"/>
      <c r="H201" s="228" t="str">
        <f>HLOOKUP($U$1,Phrasing!A:A,171,FALSE)</f>
        <v>Renewal</v>
      </c>
      <c r="I201" s="229"/>
      <c r="J201" s="241"/>
      <c r="K201" s="242"/>
    </row>
    <row r="202" spans="1:11" ht="25.5">
      <c r="A202" s="97" t="str">
        <f>HLOOKUP($U$1,Phrasing!A:A,50,FALSE)</f>
        <v>Quantity</v>
      </c>
      <c r="B202" s="97" t="str">
        <f>HLOOKUP($U$1,Phrasing!A:A,18,FALSE)</f>
        <v>Discount Level</v>
      </c>
      <c r="C202" s="94" t="str">
        <f>HLOOKUP($U$1,Phrasing!A:A,19,FALSE)</f>
        <v>Discount off  single user license</v>
      </c>
      <c r="D202" s="100" t="str">
        <f>CONCATENATE(HLOOKUP($U$1,Phrasing!A:A,46,FALSE),": ",VLOOKUP('Perpetual Pricing'!$J$1,XE!$A:$B,2,FALSE))</f>
        <v>Price: EUR</v>
      </c>
      <c r="E202" s="38" t="str">
        <f>HLOOKUP($U$1,Phrasing!A:A,43,FALSE)</f>
        <v>Part Number</v>
      </c>
      <c r="F202" s="100" t="str">
        <f>CONCATENATE(HLOOKUP($U$1,Phrasing!A:A,46,FALSE),": ",VLOOKUP('Perpetual Pricing'!$J$1,XE!$A:$B,2,FALSE))</f>
        <v>Price: EUR</v>
      </c>
      <c r="G202" s="38" t="str">
        <f>HLOOKUP($U$1,Phrasing!A:A,43,FALSE)</f>
        <v>Part Number</v>
      </c>
      <c r="H202" s="100" t="str">
        <f>CONCATENATE(HLOOKUP($U$1,Phrasing!A:A,46,FALSE),": ",VLOOKUP('Perpetual Pricing'!$J$1,XE!$A:$B,2,FALSE))</f>
        <v>Price: EUR</v>
      </c>
      <c r="I202" s="96" t="str">
        <f>HLOOKUP($U$1,Phrasing!A:A,43,FALSE)</f>
        <v>Part Number</v>
      </c>
      <c r="J202" s="100" t="str">
        <f>CONCATENATE(HLOOKUP($U$1,Phrasing!A:A,46,FALSE),": ",VLOOKUP('Perpetual Pricing'!$J$1,XE!$A:$B,2,FALSE))</f>
        <v>Price: EUR</v>
      </c>
      <c r="K202" s="96" t="str">
        <f>HLOOKUP($U$1,Phrasing!A:A,43,FALSE)</f>
        <v>Part Number</v>
      </c>
    </row>
    <row r="203" spans="1:11">
      <c r="A203" s="40" t="s">
        <v>14</v>
      </c>
      <c r="B203" s="98" t="s">
        <v>15</v>
      </c>
      <c r="C203" s="41">
        <v>0</v>
      </c>
      <c r="D203" s="85" t="str">
        <f>TEXT(ROUND(VLOOKUP('Perpetual Pricing'!$J$2,XE!$M$5:$N$6,2,FALSE)*BASE!D202*VLOOKUP('Perpetual Pricing'!$J$1,XE!$A:$F,6,FALSE)* (HLOOKUP($J$3,PARTNERPROGRAM!$D$7:$H$8,2,FALSE)),VLOOKUP('Perpetual Pricing'!$J$1,XE!$A:$H,8,FALSE)),VLOOKUP('Perpetual Pricing'!$J$1,XE!$A:$G,7,FALSE))</f>
        <v>874,8800</v>
      </c>
      <c r="E203" s="42" t="str">
        <f>CONCATENATE(LEFT(BASE!E202,6),VLOOKUP('Perpetual Pricing'!$J$1,XE!$A:$C,3,FALSE),MID(BASE!E202,9,1),IF('Perpetual Pricing'!$J$2="Standard","S","G"),RIGHT(BASE!E202,7))</f>
        <v>SSPS50EUPS0100ZZZ</v>
      </c>
      <c r="F203" s="85" t="str">
        <f>TEXT(ROUND(VLOOKUP('Perpetual Pricing'!$J$2,XE!$M$5:$N$6,2,FALSE)*BASE!F202*VLOOKUP('Perpetual Pricing'!$J$1,XE!$A:$F,6,FALSE)* (HLOOKUP($J$3,PARTNERPROGRAM!$D$7:$H$8,2,FALSE)),VLOOKUP('Perpetual Pricing'!$J$1,XE!$A:$H,8,FALSE)),VLOOKUP('Perpetual Pricing'!$J$1,XE!$A:$G,7,FALSE))</f>
        <v>437,4400</v>
      </c>
      <c r="G203" s="42" t="str">
        <f>CONCATENATE(LEFT(BASE!G202,6),VLOOKUP('Perpetual Pricing'!$J$1,XE!$A:$C,3,FALSE),MID(BASE!G202,9,1),IF('Perpetual Pricing'!$J$2="Standard","S","G"),RIGHT(BASE!G202,7))</f>
        <v>SSPS50EUUS0100ZZZ</v>
      </c>
      <c r="H203" s="85" t="str">
        <f>TEXT(ROUND(VLOOKUP('Perpetual Pricing'!$J$2,XE!$M$5:$N$6,2,FALSE)*BASE!H202*VLOOKUP('Perpetual Pricing'!$J$1,XE!$A:$F,6,FALSE)* (HLOOKUP($J$3,PARTNERPROGRAM!$D$7:$H$8,2,FALSE)),VLOOKUP('Perpetual Pricing'!$J$1,XE!$A:$H,8,FALSE)),VLOOKUP('Perpetual Pricing'!$J$1,XE!$A:$G,7,FALSE))</f>
        <v>174,9800</v>
      </c>
      <c r="I203" s="42" t="str">
        <f>CONCATENATE(LEFT(BASE!I202,6),VLOOKUP('Perpetual Pricing'!$J$1,XE!$A:$C,3,FALSE),MID(BASE!I202,9,1),IF('Perpetual Pricing'!$J$2="Standard","S","G"),RIGHT(BASE!I202,7))</f>
        <v>SSPS50EUMS011YZZZ</v>
      </c>
      <c r="J203" s="85" t="str">
        <f>TEXT(ROUND(VLOOKUP('Perpetual Pricing'!$J$2,XE!$M$5:$N$6,2,FALSE)*BASE!J202*VLOOKUP('Perpetual Pricing'!$J$1,XE!$A:$F,6,FALSE)* (HLOOKUP($J$3,PARTNERPROGRAM!$D$7:$H$8,2,FALSE)),VLOOKUP('Perpetual Pricing'!$J$1,XE!$A:$H,8,FALSE)),VLOOKUP('Perpetual Pricing'!$J$1,XE!$A:$G,7,FALSE))</f>
        <v>131,2300</v>
      </c>
      <c r="K203" s="42" t="str">
        <f>CONCATENATE(LEFT(BASE!K202,6),VLOOKUP('Perpetual Pricing'!$J$1,XE!$A:$C,3,FALSE),MID(BASE!K202,9,1),IF('Perpetual Pricing'!$J$2="Standard","S","G"),RIGHT(BASE!K202,7))</f>
        <v>SSPS50EUSS011YZZZ</v>
      </c>
    </row>
    <row r="204" spans="1:11">
      <c r="A204" s="40" t="s">
        <v>20</v>
      </c>
      <c r="B204" s="98" t="s">
        <v>21</v>
      </c>
      <c r="C204" s="52">
        <f>BASE!$M$2</f>
        <v>0.09</v>
      </c>
      <c r="D204" s="85" t="str">
        <f>TEXT(ROUND(VLOOKUP('Perpetual Pricing'!$J$2,XE!$M$5:$N$6,2,FALSE)*BASE!D203*VLOOKUP('Perpetual Pricing'!$J$1,XE!$A:$F,6,FALSE)* (HLOOKUP($J$3,PARTNERPROGRAM!$D$7:$H$8,2,FALSE)),VLOOKUP('Perpetual Pricing'!$J$1,XE!$A:$H,8,FALSE)),VLOOKUP('Perpetual Pricing'!$J$1,XE!$A:$G,7,FALSE))</f>
        <v>796,1400</v>
      </c>
      <c r="E204" s="42" t="str">
        <f>CONCATENATE(LEFT(BASE!E203,6),VLOOKUP('Perpetual Pricing'!$J$1,XE!$A:$C,3,FALSE),MID(BASE!E203,9,1),IF('Perpetual Pricing'!$J$2="Standard","S","G"),RIGHT(BASE!E203,7))</f>
        <v>SSPS50EUPS0100ZZA</v>
      </c>
      <c r="F204" s="85" t="str">
        <f>TEXT(ROUND(VLOOKUP('Perpetual Pricing'!$J$2,XE!$M$5:$N$6,2,FALSE)*BASE!F203*VLOOKUP('Perpetual Pricing'!$J$1,XE!$A:$F,6,FALSE)* (HLOOKUP($J$3,PARTNERPROGRAM!$D$7:$H$8,2,FALSE)),VLOOKUP('Perpetual Pricing'!$J$1,XE!$A:$H,8,FALSE)),VLOOKUP('Perpetual Pricing'!$J$1,XE!$A:$G,7,FALSE))</f>
        <v>398,0700</v>
      </c>
      <c r="G204" s="42" t="str">
        <f>CONCATENATE(LEFT(BASE!G203,6),VLOOKUP('Perpetual Pricing'!$J$1,XE!$A:$C,3,FALSE),MID(BASE!G203,9,1),IF('Perpetual Pricing'!$J$2="Standard","S","G"),RIGHT(BASE!G203,7))</f>
        <v>SSPS50EUUS0100ZZA</v>
      </c>
      <c r="H204" s="85" t="str">
        <f>TEXT(ROUND(VLOOKUP('Perpetual Pricing'!$J$2,XE!$M$5:$N$6,2,FALSE)*BASE!H203*VLOOKUP('Perpetual Pricing'!$J$1,XE!$A:$F,6,FALSE)* (HLOOKUP($J$3,PARTNERPROGRAM!$D$7:$H$8,2,FALSE)),VLOOKUP('Perpetual Pricing'!$J$1,XE!$A:$H,8,FALSE)),VLOOKUP('Perpetual Pricing'!$J$1,XE!$A:$G,7,FALSE))</f>
        <v>159,2300</v>
      </c>
      <c r="I204" s="42" t="str">
        <f>CONCATENATE(LEFT(BASE!I203,6),VLOOKUP('Perpetual Pricing'!$J$1,XE!$A:$C,3,FALSE),MID(BASE!I203,9,1),IF('Perpetual Pricing'!$J$2="Standard","S","G"),RIGHT(BASE!I203,7))</f>
        <v>SSPS50EUMS011YZZA</v>
      </c>
      <c r="J204" s="85" t="str">
        <f>TEXT(ROUND(VLOOKUP('Perpetual Pricing'!$J$2,XE!$M$5:$N$6,2,FALSE)*BASE!J203*VLOOKUP('Perpetual Pricing'!$J$1,XE!$A:$F,6,FALSE)* (HLOOKUP($J$3,PARTNERPROGRAM!$D$7:$H$8,2,FALSE)),VLOOKUP('Perpetual Pricing'!$J$1,XE!$A:$H,8,FALSE)),VLOOKUP('Perpetual Pricing'!$J$1,XE!$A:$G,7,FALSE))</f>
        <v>119,4200</v>
      </c>
      <c r="K204" s="42" t="str">
        <f>CONCATENATE(LEFT(BASE!K203,6),VLOOKUP('Perpetual Pricing'!$J$1,XE!$A:$C,3,FALSE),MID(BASE!K203,9,1),IF('Perpetual Pricing'!$J$2="Standard","S","G"),RIGHT(BASE!K203,7))</f>
        <v>SSPS50EUSS011YZZA</v>
      </c>
    </row>
    <row r="205" spans="1:11">
      <c r="A205" s="40" t="s">
        <v>26</v>
      </c>
      <c r="B205" s="98" t="s">
        <v>27</v>
      </c>
      <c r="C205" s="52">
        <f>BASE!$M$3</f>
        <v>0.23300000000000001</v>
      </c>
      <c r="D205" s="85" t="str">
        <f>TEXT(ROUND(VLOOKUP('Perpetual Pricing'!$J$2,XE!$M$5:$N$6,2,FALSE)*BASE!D204*VLOOKUP('Perpetual Pricing'!$J$1,XE!$A:$F,6,FALSE)* (HLOOKUP($J$3,PARTNERPROGRAM!$D$7:$H$8,2,FALSE)),VLOOKUP('Perpetual Pricing'!$J$1,XE!$A:$H,8,FALSE)),VLOOKUP('Perpetual Pricing'!$J$1,XE!$A:$G,7,FALSE))</f>
        <v>671,0300</v>
      </c>
      <c r="E205" s="42" t="str">
        <f>CONCATENATE(LEFT(BASE!E204,6),VLOOKUP('Perpetual Pricing'!$J$1,XE!$A:$C,3,FALSE),MID(BASE!E204,9,1),IF('Perpetual Pricing'!$J$2="Standard","S","G"),RIGHT(BASE!E204,7))</f>
        <v>SSPS50EUPS0100ZZB</v>
      </c>
      <c r="F205" s="85" t="str">
        <f>TEXT(ROUND(VLOOKUP('Perpetual Pricing'!$J$2,XE!$M$5:$N$6,2,FALSE)*BASE!F204*VLOOKUP('Perpetual Pricing'!$J$1,XE!$A:$F,6,FALSE)* (HLOOKUP($J$3,PARTNERPROGRAM!$D$7:$H$8,2,FALSE)),VLOOKUP('Perpetual Pricing'!$J$1,XE!$A:$H,8,FALSE)),VLOOKUP('Perpetual Pricing'!$J$1,XE!$A:$G,7,FALSE))</f>
        <v>335,5100</v>
      </c>
      <c r="G205" s="42" t="str">
        <f>CONCATENATE(LEFT(BASE!G204,6),VLOOKUP('Perpetual Pricing'!$J$1,XE!$A:$C,3,FALSE),MID(BASE!G204,9,1),IF('Perpetual Pricing'!$J$2="Standard","S","G"),RIGHT(BASE!G204,7))</f>
        <v>SSPS50EUUS0100ZZB</v>
      </c>
      <c r="H205" s="85" t="str">
        <f>TEXT(ROUND(VLOOKUP('Perpetual Pricing'!$J$2,XE!$M$5:$N$6,2,FALSE)*BASE!H204*VLOOKUP('Perpetual Pricing'!$J$1,XE!$A:$F,6,FALSE)* (HLOOKUP($J$3,PARTNERPROGRAM!$D$7:$H$8,2,FALSE)),VLOOKUP('Perpetual Pricing'!$J$1,XE!$A:$H,8,FALSE)),VLOOKUP('Perpetual Pricing'!$J$1,XE!$A:$G,7,FALSE))</f>
        <v>134,200</v>
      </c>
      <c r="I205" s="42" t="str">
        <f>CONCATENATE(LEFT(BASE!I204,6),VLOOKUP('Perpetual Pricing'!$J$1,XE!$A:$C,3,FALSE),MID(BASE!I204,9,1),IF('Perpetual Pricing'!$J$2="Standard","S","G"),RIGHT(BASE!I204,7))</f>
        <v>SSPS50EUMS011YZZB</v>
      </c>
      <c r="J205" s="85" t="str">
        <f>TEXT(ROUND(VLOOKUP('Perpetual Pricing'!$J$2,XE!$M$5:$N$6,2,FALSE)*BASE!J204*VLOOKUP('Perpetual Pricing'!$J$1,XE!$A:$F,6,FALSE)* (HLOOKUP($J$3,PARTNERPROGRAM!$D$7:$H$8,2,FALSE)),VLOOKUP('Perpetual Pricing'!$J$1,XE!$A:$H,8,FALSE)),VLOOKUP('Perpetual Pricing'!$J$1,XE!$A:$G,7,FALSE))</f>
        <v>100,6600</v>
      </c>
      <c r="K205" s="42" t="str">
        <f>CONCATENATE(LEFT(BASE!K204,6),VLOOKUP('Perpetual Pricing'!$J$1,XE!$A:$C,3,FALSE),MID(BASE!K204,9,1),IF('Perpetual Pricing'!$J$2="Standard","S","G"),RIGHT(BASE!K204,7))</f>
        <v>SSPS50EUSS011YZZB</v>
      </c>
    </row>
    <row r="206" spans="1:11">
      <c r="A206" s="43" t="s">
        <v>32</v>
      </c>
      <c r="B206" s="98" t="s">
        <v>33</v>
      </c>
      <c r="C206" s="52">
        <f>BASE!$M$4</f>
        <v>0.377</v>
      </c>
      <c r="D206" s="85" t="str">
        <f>TEXT(ROUND(VLOOKUP('Perpetual Pricing'!$J$2,XE!$M$5:$N$6,2,FALSE)*BASE!D205*VLOOKUP('Perpetual Pricing'!$J$1,XE!$A:$F,6,FALSE)* (HLOOKUP($J$3,PARTNERPROGRAM!$D$7:$H$8,2,FALSE)),VLOOKUP('Perpetual Pricing'!$J$1,XE!$A:$H,8,FALSE)),VLOOKUP('Perpetual Pricing'!$J$1,XE!$A:$G,7,FALSE))</f>
        <v>545,0500</v>
      </c>
      <c r="E206" s="42" t="str">
        <f>CONCATENATE(LEFT(BASE!E205,6),VLOOKUP('Perpetual Pricing'!$J$1,XE!$A:$C,3,FALSE),MID(BASE!E205,9,1),IF('Perpetual Pricing'!$J$2="Standard","S","G"),RIGHT(BASE!E205,7))</f>
        <v>SSPS50EUPS0100ZZC</v>
      </c>
      <c r="F206" s="85" t="str">
        <f>TEXT(ROUND(VLOOKUP('Perpetual Pricing'!$J$2,XE!$M$5:$N$6,2,FALSE)*BASE!F205*VLOOKUP('Perpetual Pricing'!$J$1,XE!$A:$F,6,FALSE)* (HLOOKUP($J$3,PARTNERPROGRAM!$D$7:$H$8,2,FALSE)),VLOOKUP('Perpetual Pricing'!$J$1,XE!$A:$H,8,FALSE)),VLOOKUP('Perpetual Pricing'!$J$1,XE!$A:$G,7,FALSE))</f>
        <v>272,5200</v>
      </c>
      <c r="G206" s="42" t="str">
        <f>CONCATENATE(LEFT(BASE!G205,6),VLOOKUP('Perpetual Pricing'!$J$1,XE!$A:$C,3,FALSE),MID(BASE!G205,9,1),IF('Perpetual Pricing'!$J$2="Standard","S","G"),RIGHT(BASE!G205,7))</f>
        <v>SSPS50EUUS0100ZZC</v>
      </c>
      <c r="H206" s="85" t="str">
        <f>TEXT(ROUND(VLOOKUP('Perpetual Pricing'!$J$2,XE!$M$5:$N$6,2,FALSE)*BASE!H205*VLOOKUP('Perpetual Pricing'!$J$1,XE!$A:$F,6,FALSE)* (HLOOKUP($J$3,PARTNERPROGRAM!$D$7:$H$8,2,FALSE)),VLOOKUP('Perpetual Pricing'!$J$1,XE!$A:$H,8,FALSE)),VLOOKUP('Perpetual Pricing'!$J$1,XE!$A:$G,7,FALSE))</f>
        <v>109,0100</v>
      </c>
      <c r="I206" s="42" t="str">
        <f>CONCATENATE(LEFT(BASE!I205,6),VLOOKUP('Perpetual Pricing'!$J$1,XE!$A:$C,3,FALSE),MID(BASE!I205,9,1),IF('Perpetual Pricing'!$J$2="Standard","S","G"),RIGHT(BASE!I205,7))</f>
        <v>SSPS50EUMS011YZZC</v>
      </c>
      <c r="J206" s="85" t="str">
        <f>TEXT(ROUND(VLOOKUP('Perpetual Pricing'!$J$2,XE!$M$5:$N$6,2,FALSE)*BASE!J205*VLOOKUP('Perpetual Pricing'!$J$1,XE!$A:$F,6,FALSE)* (HLOOKUP($J$3,PARTNERPROGRAM!$D$7:$H$8,2,FALSE)),VLOOKUP('Perpetual Pricing'!$J$1,XE!$A:$H,8,FALSE)),VLOOKUP('Perpetual Pricing'!$J$1,XE!$A:$G,7,FALSE))</f>
        <v>81,7600</v>
      </c>
      <c r="K206" s="42" t="str">
        <f>CONCATENATE(LEFT(BASE!K205,6),VLOOKUP('Perpetual Pricing'!$J$1,XE!$A:$C,3,FALSE),MID(BASE!K205,9,1),IF('Perpetual Pricing'!$J$2="Standard","S","G"),RIGHT(BASE!K205,7))</f>
        <v>SSPS50EUSS011YZZC</v>
      </c>
    </row>
    <row r="207" spans="1:11">
      <c r="A207" s="272" t="s">
        <v>38</v>
      </c>
      <c r="B207" s="272"/>
      <c r="C207" s="278"/>
      <c r="D207" s="85" t="str">
        <f>TEXT(ROUND(VLOOKUP('Perpetual Pricing'!$J$2,XE!$M$5:$N$6,2,FALSE)*BASE!D206*VLOOKUP('Perpetual Pricing'!$J$1,XE!$A:$F,6,FALSE)* (HLOOKUP($J$3,PARTNERPROGRAM!$D$7:$H$8,2,FALSE)),VLOOKUP('Perpetual Pricing'!$J$1,XE!$A:$H,8,FALSE)),VLOOKUP('Perpetual Pricing'!$J$1,XE!$A:$G,7,FALSE))</f>
        <v>479,3900</v>
      </c>
      <c r="E207" s="42" t="str">
        <f>CONCATENATE(LEFT(BASE!E206,6),VLOOKUP('Perpetual Pricing'!$J$1,XE!$A:$C,3,FALSE),MID(BASE!E206,9,1),IF('Perpetual Pricing'!$J$2="Standard","S","G"),RIGHT(BASE!E206,7))</f>
        <v>SUPS50EUUS0100ZPZ</v>
      </c>
      <c r="F207" s="271" t="s">
        <v>40</v>
      </c>
      <c r="G207" s="271"/>
      <c r="H207" s="271" t="s">
        <v>40</v>
      </c>
      <c r="I207" s="271"/>
      <c r="J207" s="271" t="s">
        <v>40</v>
      </c>
      <c r="K207" s="271"/>
    </row>
    <row r="208" spans="1:11">
      <c r="A208" s="272" t="s">
        <v>41</v>
      </c>
      <c r="B208" s="272"/>
      <c r="C208" s="278"/>
      <c r="D208" s="85" t="str">
        <f>TEXT(ROUND(VLOOKUP('Perpetual Pricing'!$J$2,XE!$M$5:$N$6,2,FALSE)*BASE!D207*VLOOKUP('Perpetual Pricing'!$J$1,XE!$A:$F,6,FALSE)* (HLOOKUP($J$3,PARTNERPROGRAM!$D$7:$H$8,2,FALSE)),VLOOKUP('Perpetual Pricing'!$J$1,XE!$A:$H,8,FALSE)),VLOOKUP('Perpetual Pricing'!$J$1,XE!$A:$G,7,FALSE))</f>
        <v>698,7100</v>
      </c>
      <c r="E208" s="42" t="str">
        <f>CONCATENATE(LEFT(BASE!E207,6),VLOOKUP('Perpetual Pricing'!$J$1,XE!$A:$C,3,FALSE),MID(BASE!E207,9,1),IF('Perpetual Pricing'!$J$2="Standard","S","G"),RIGHT(BASE!E207,7))</f>
        <v>SUPP50EUUS0100ZPZ</v>
      </c>
      <c r="F208" s="271"/>
      <c r="G208" s="271"/>
      <c r="H208" s="271"/>
      <c r="I208" s="271"/>
      <c r="J208" s="271"/>
      <c r="K208" s="271"/>
    </row>
    <row r="209" spans="1:11">
      <c r="A209" s="44" t="s">
        <v>43</v>
      </c>
      <c r="B209" s="45"/>
      <c r="C209" s="45"/>
      <c r="D209" s="46"/>
      <c r="E209" s="47"/>
      <c r="F209" s="48"/>
      <c r="G209" s="48"/>
      <c r="H209" s="48"/>
      <c r="I209" s="48"/>
      <c r="J209" s="48"/>
      <c r="K209" s="48"/>
    </row>
    <row r="210" spans="1:11">
      <c r="A210" s="44" t="str">
        <f>HLOOKUP($U$1,Phrasing!A:A,4,FALSE)</f>
        <v>* For higher volume sales, please contact StorageCraft.</v>
      </c>
      <c r="B210" s="49"/>
      <c r="C210" s="50"/>
      <c r="D210" s="35"/>
      <c r="E210" s="36"/>
      <c r="F210" s="35"/>
      <c r="G210" s="36"/>
      <c r="H210" s="35"/>
      <c r="I210" s="36"/>
      <c r="J210" s="35"/>
      <c r="K210" s="36"/>
    </row>
    <row r="211" spans="1:11">
      <c r="A211" s="15"/>
      <c r="B211" s="15"/>
      <c r="C211" s="15"/>
      <c r="D211" s="2"/>
      <c r="E211" s="16"/>
      <c r="F211" s="3"/>
      <c r="G211" s="3"/>
      <c r="H211" s="3"/>
      <c r="I211" s="3"/>
      <c r="J211" s="3"/>
      <c r="K211" s="3"/>
    </row>
    <row r="212" spans="1:11" ht="20.25">
      <c r="A212" s="215" t="s">
        <v>78</v>
      </c>
      <c r="B212" s="18"/>
      <c r="C212" s="18"/>
      <c r="D212" s="1"/>
      <c r="E212" s="9"/>
      <c r="F212" s="1"/>
      <c r="G212" s="9"/>
      <c r="H212" s="1"/>
      <c r="I212" s="9"/>
      <c r="J212" s="1"/>
      <c r="K212" s="9"/>
    </row>
    <row r="213" spans="1:11" ht="20.25">
      <c r="A213" s="215" t="s">
        <v>79</v>
      </c>
      <c r="B213" s="18"/>
      <c r="C213" s="18"/>
      <c r="D213" s="1"/>
      <c r="E213" s="9"/>
      <c r="F213" s="1"/>
      <c r="G213" s="9"/>
      <c r="H213" s="1"/>
      <c r="I213" s="9"/>
      <c r="J213" s="1"/>
      <c r="K213" s="13"/>
    </row>
    <row r="214" spans="1:11" ht="15.75" customHeight="1">
      <c r="A214" s="253" t="str">
        <f>HLOOKUP($U$1,Phrasing!A:A,20,FALSE)</f>
        <v>First year of maintenance is included in the purchase price.  *Premium Support requires an active Maintenance Agreement.</v>
      </c>
      <c r="B214" s="253"/>
      <c r="C214" s="254"/>
      <c r="D214" s="232" t="str">
        <f>HLOOKUP($U$1,Phrasing!A:A,16,FALSE)</f>
        <v>Competitive Upgrade Price - SRP</v>
      </c>
      <c r="E214" s="233"/>
      <c r="F214" s="233"/>
      <c r="G214" s="233"/>
      <c r="H214" s="233"/>
      <c r="I214" s="233"/>
      <c r="J214" s="233"/>
      <c r="K214" s="234"/>
    </row>
    <row r="215" spans="1:11" ht="12.75" customHeight="1">
      <c r="A215" s="253"/>
      <c r="B215" s="253"/>
      <c r="C215" s="254"/>
      <c r="D215" s="235" t="str">
        <f>HLOOKUP($U$1,Phrasing!A:A,40,FALSE)</f>
        <v>New</v>
      </c>
      <c r="E215" s="236"/>
      <c r="F215" s="237" t="str">
        <f>HLOOKUP($U$1,Phrasing!A:A,158,FALSE)</f>
        <v>Upgrade</v>
      </c>
      <c r="G215" s="238"/>
      <c r="H215" s="230" t="str">
        <f>HLOOKUP($U$1,Phrasing!A:A,170,FALSE)</f>
        <v>1Yr Maintenance</v>
      </c>
      <c r="I215" s="231"/>
      <c r="J215" s="239" t="str">
        <f>HLOOKUP($U$1,Phrasing!A:A,45,FALSE)</f>
        <v>Premium Support</v>
      </c>
      <c r="K215" s="240"/>
    </row>
    <row r="216" spans="1:11">
      <c r="A216" s="255"/>
      <c r="B216" s="255"/>
      <c r="C216" s="256"/>
      <c r="D216" s="243" t="str">
        <f>HLOOKUP($U$1,Phrasing!A:A,23,FALSE)</f>
        <v>Includes one year of Maintenance</v>
      </c>
      <c r="E216" s="244"/>
      <c r="F216" s="245" t="str">
        <f>HLOOKUP($U$1,Phrasing!A:A,23,FALSE)</f>
        <v>Includes one year of Maintenance</v>
      </c>
      <c r="G216" s="246"/>
      <c r="H216" s="228" t="str">
        <f>HLOOKUP($U$1,Phrasing!A:A,171,FALSE)</f>
        <v>Renewal</v>
      </c>
      <c r="I216" s="229"/>
      <c r="J216" s="241"/>
      <c r="K216" s="242"/>
    </row>
    <row r="217" spans="1:11">
      <c r="A217" s="97" t="str">
        <f>HLOOKUP($U$1,Phrasing!A:A,50,FALSE)</f>
        <v>Quantity</v>
      </c>
      <c r="B217" s="247" t="str">
        <f>HLOOKUP($U$1,Phrasing!A:A,18,FALSE)</f>
        <v>Discount Level</v>
      </c>
      <c r="C217" s="248"/>
      <c r="D217" s="100" t="str">
        <f>CONCATENATE(HLOOKUP($U$1,Phrasing!A:A,46,FALSE),": ",VLOOKUP('Perpetual Pricing'!$J$1,XE!$A:$B,2,FALSE))</f>
        <v>Price: EUR</v>
      </c>
      <c r="E217" s="38" t="str">
        <f>HLOOKUP($U$1,Phrasing!A:A,43,FALSE)</f>
        <v>Part Number</v>
      </c>
      <c r="F217" s="53" t="s">
        <v>12</v>
      </c>
      <c r="G217" s="38" t="str">
        <f>HLOOKUP($U$1,Phrasing!A:A,43,FALSE)</f>
        <v>Part Number</v>
      </c>
      <c r="H217" s="53" t="s">
        <v>12</v>
      </c>
      <c r="I217" s="96" t="str">
        <f>HLOOKUP($U$1,Phrasing!A:A,43,FALSE)</f>
        <v>Part Number</v>
      </c>
      <c r="J217" s="54" t="s">
        <v>12</v>
      </c>
      <c r="K217" s="55" t="str">
        <f>HLOOKUP($U$1,Phrasing!A:A,43,FALSE)</f>
        <v>Part Number</v>
      </c>
    </row>
    <row r="218" spans="1:11">
      <c r="A218" s="98" t="s">
        <v>14</v>
      </c>
      <c r="B218" s="249" t="s">
        <v>15</v>
      </c>
      <c r="C218" s="250"/>
      <c r="D218" s="85" t="str">
        <f>D38</f>
        <v>568,6700</v>
      </c>
      <c r="E218" s="42" t="str">
        <f>CONCATENATE(LEFT(BASE!E217,6),VLOOKUP('Perpetual Pricing'!$J$1,XE!$A:$C,3,FALSE),RIGHT(BASE!E217,9))</f>
        <v>SSPS50EUPC0100ZZZ</v>
      </c>
      <c r="F218" s="261" t="s">
        <v>84</v>
      </c>
      <c r="G218" s="261"/>
      <c r="H218" s="262" t="s">
        <v>85</v>
      </c>
      <c r="I218" s="263"/>
      <c r="J218" s="262" t="s">
        <v>86</v>
      </c>
      <c r="K218" s="263"/>
    </row>
    <row r="219" spans="1:11">
      <c r="A219" s="43" t="s">
        <v>20</v>
      </c>
      <c r="B219" s="249" t="s">
        <v>21</v>
      </c>
      <c r="C219" s="250"/>
      <c r="D219" s="85" t="str">
        <f>D39</f>
        <v>517,4900</v>
      </c>
      <c r="E219" s="42" t="str">
        <f>CONCATENATE(LEFT(BASE!E218,6),VLOOKUP('Perpetual Pricing'!$J$1,XE!$A:$C,3,FALSE),RIGHT(BASE!E218,9))</f>
        <v>SSPS50EUPC0100ZZA</v>
      </c>
      <c r="F219" s="261"/>
      <c r="G219" s="261"/>
      <c r="H219" s="263"/>
      <c r="I219" s="263"/>
      <c r="J219" s="263"/>
      <c r="K219" s="263"/>
    </row>
    <row r="220" spans="1:11">
      <c r="A220" s="43" t="s">
        <v>26</v>
      </c>
      <c r="B220" s="249" t="s">
        <v>27</v>
      </c>
      <c r="C220" s="250"/>
      <c r="D220" s="85" t="str">
        <f>D40</f>
        <v>436,1700</v>
      </c>
      <c r="E220" s="42" t="str">
        <f>CONCATENATE(LEFT(BASE!E219,6),VLOOKUP('Perpetual Pricing'!$J$1,XE!$A:$C,3,FALSE),RIGHT(BASE!E219,9))</f>
        <v>SSPS50EUPC0100ZZB</v>
      </c>
      <c r="F220" s="261"/>
      <c r="G220" s="261"/>
      <c r="H220" s="263"/>
      <c r="I220" s="263"/>
      <c r="J220" s="263"/>
      <c r="K220" s="263"/>
    </row>
    <row r="221" spans="1:11">
      <c r="A221" s="43" t="s">
        <v>32</v>
      </c>
      <c r="B221" s="249" t="s">
        <v>33</v>
      </c>
      <c r="C221" s="250"/>
      <c r="D221" s="85" t="str">
        <f>D41</f>
        <v>354,2800</v>
      </c>
      <c r="E221" s="42" t="str">
        <f>CONCATENATE(LEFT(BASE!E220,6),VLOOKUP('Perpetual Pricing'!$J$1,XE!$A:$C,3,FALSE),RIGHT(BASE!E220,9))</f>
        <v>SSPS50EUPC0100ZZC</v>
      </c>
      <c r="F221" s="261"/>
      <c r="G221" s="261"/>
      <c r="H221" s="263"/>
      <c r="I221" s="263"/>
      <c r="J221" s="263"/>
      <c r="K221" s="263"/>
    </row>
    <row r="222" spans="1:11">
      <c r="A222" s="44" t="str">
        <f>HLOOKUP($U$1,Phrasing!A:A,4,FALSE)</f>
        <v>* For higher volume sales, please contact StorageCraft.</v>
      </c>
      <c r="B222" s="57"/>
      <c r="C222" s="58"/>
      <c r="D222" s="87"/>
      <c r="E222" s="60"/>
      <c r="F222" s="61"/>
      <c r="G222" s="61"/>
      <c r="H222" s="62"/>
      <c r="I222" s="62"/>
      <c r="J222" s="62"/>
      <c r="K222" s="62"/>
    </row>
    <row r="223" spans="1:11">
      <c r="A223" s="44" t="s">
        <v>90</v>
      </c>
      <c r="B223" s="57"/>
      <c r="C223" s="58"/>
      <c r="D223" s="59"/>
      <c r="E223" s="60"/>
      <c r="F223" s="61"/>
      <c r="G223" s="61"/>
      <c r="H223" s="62"/>
      <c r="I223" s="62"/>
      <c r="J223" s="62"/>
      <c r="K223" s="62"/>
    </row>
    <row r="224" spans="1:11">
      <c r="A224" s="44" t="str">
        <f>IF(OR('Perpetual Pricing'!$J$1="US-USD", 'Perpetual Pricing'!$J$1="Canada-CAD",'Perpetual Pricing'!$J$1="Canada-French-CAD"),"","")</f>
        <v/>
      </c>
      <c r="B224" s="49"/>
      <c r="C224" s="50"/>
      <c r="D224" s="35"/>
      <c r="E224" s="36"/>
      <c r="F224" s="35"/>
      <c r="G224" s="36"/>
      <c r="H224" s="35"/>
      <c r="I224" s="36"/>
      <c r="J224" s="35"/>
      <c r="K224" s="36"/>
    </row>
    <row r="225" spans="1:11">
      <c r="A225" s="14"/>
      <c r="B225" s="7"/>
      <c r="C225" s="8"/>
      <c r="D225" s="1"/>
      <c r="E225" s="9"/>
      <c r="F225" s="1"/>
      <c r="G225" s="9"/>
      <c r="H225" s="1"/>
      <c r="I225" s="9"/>
      <c r="J225" s="1"/>
      <c r="K225" s="9"/>
    </row>
    <row r="226" spans="1:11">
      <c r="A226" s="14"/>
      <c r="B226" s="7"/>
      <c r="C226" s="8"/>
      <c r="D226" s="1"/>
      <c r="E226" s="9"/>
      <c r="F226" s="1"/>
      <c r="G226" s="9"/>
      <c r="H226" s="1"/>
      <c r="I226" s="9"/>
      <c r="J226" s="1"/>
      <c r="K226" s="9"/>
    </row>
    <row r="227" spans="1:11" ht="20.25">
      <c r="A227" s="215" t="s">
        <v>523</v>
      </c>
      <c r="B227" s="18"/>
      <c r="C227" s="18"/>
      <c r="D227" s="21"/>
      <c r="E227" s="9"/>
      <c r="F227" s="1"/>
      <c r="G227" s="9"/>
      <c r="H227" s="1"/>
      <c r="I227" s="9"/>
      <c r="J227" s="1"/>
      <c r="K227" s="13"/>
    </row>
    <row r="228" spans="1:11" ht="15.75" customHeight="1">
      <c r="A228" s="253" t="s">
        <v>2</v>
      </c>
      <c r="B228" s="253"/>
      <c r="C228" s="254"/>
      <c r="D228" s="259" t="str">
        <f>CONCATENATE(IF('Perpetual Pricing'!$J$2="Standard",HLOOKUP($U$1,Phrasing!A:A,48,FALSE),IF('Perpetual Pricing'!$J$2="Gov/Edu/NonProfit",HLOOKUP($U$1,Phrasing!A:A,49,FALSE),"???"))," - ",$J$3,, " - ",VLOOKUP($J$3,PARTNERPROGRAM!$U$5:$V$9,2,FALSE))</f>
        <v>Standard Pricing - Non Partner - SRP</v>
      </c>
      <c r="E228" s="259"/>
      <c r="F228" s="259"/>
      <c r="G228" s="259"/>
      <c r="H228" s="260"/>
      <c r="I228" s="260"/>
      <c r="J228" s="259"/>
      <c r="K228" s="259"/>
    </row>
    <row r="229" spans="1:11" ht="12.75" customHeight="1">
      <c r="A229" s="253"/>
      <c r="B229" s="253"/>
      <c r="C229" s="254"/>
      <c r="D229" s="235" t="str">
        <f>HLOOKUP($U$1,Phrasing!A:A,40,FALSE)</f>
        <v>New</v>
      </c>
      <c r="E229" s="236"/>
      <c r="F229" s="237" t="str">
        <f>HLOOKUP($U$1,Phrasing!A:A,158,FALSE)</f>
        <v>Upgrade</v>
      </c>
      <c r="G229" s="238"/>
      <c r="H229" s="230" t="str">
        <f>HLOOKUP($U$1,Phrasing!A:A,170,FALSE)</f>
        <v>1Yr Maintenance</v>
      </c>
      <c r="I229" s="231"/>
      <c r="J229" s="239" t="str">
        <f>HLOOKUP($U$1,Phrasing!A:A,45,FALSE)</f>
        <v>Premium Support</v>
      </c>
      <c r="K229" s="240"/>
    </row>
    <row r="230" spans="1:11">
      <c r="A230" s="253"/>
      <c r="B230" s="253"/>
      <c r="C230" s="254"/>
      <c r="D230" s="243" t="str">
        <f>HLOOKUP($U$1,Phrasing!A:A,23,FALSE)</f>
        <v>Includes one year of Maintenance</v>
      </c>
      <c r="E230" s="244"/>
      <c r="F230" s="245" t="str">
        <f>HLOOKUP($U$1,Phrasing!A:A,23,FALSE)</f>
        <v>Includes one year of Maintenance</v>
      </c>
      <c r="G230" s="246"/>
      <c r="H230" s="228" t="str">
        <f>HLOOKUP($U$1,Phrasing!A:A,171,FALSE)</f>
        <v>Renewal</v>
      </c>
      <c r="I230" s="229"/>
      <c r="J230" s="241"/>
      <c r="K230" s="242"/>
    </row>
    <row r="231" spans="1:11">
      <c r="A231" s="255"/>
      <c r="B231" s="255"/>
      <c r="C231" s="256"/>
      <c r="D231" s="100" t="str">
        <f>CONCATENATE(HLOOKUP($U$1,Phrasing!A:A,46,FALSE),": ",VLOOKUP('Perpetual Pricing'!$J$1,XE!$A:$B,2,FALSE))</f>
        <v>Price: EUR</v>
      </c>
      <c r="E231" s="38" t="str">
        <f>HLOOKUP($U$1,Phrasing!A:A,43,FALSE)</f>
        <v>Part Number</v>
      </c>
      <c r="F231" s="100" t="str">
        <f>CONCATENATE(HLOOKUP($U$1,Phrasing!A:A,46,FALSE),": ",VLOOKUP('Perpetual Pricing'!$J$1,XE!$A:$B,2,FALSE))</f>
        <v>Price: EUR</v>
      </c>
      <c r="G231" s="38" t="str">
        <f>HLOOKUP($U$1,Phrasing!A:A,43,FALSE)</f>
        <v>Part Number</v>
      </c>
      <c r="H231" s="100" t="str">
        <f>CONCATENATE(HLOOKUP($U$1,Phrasing!A:A,46,FALSE),": ",VLOOKUP('Perpetual Pricing'!$J$1,XE!$A:$B,2,FALSE))</f>
        <v>Price: EUR</v>
      </c>
      <c r="I231" s="96" t="str">
        <f>HLOOKUP($U$1,Phrasing!A:A,43,FALSE)</f>
        <v>Part Number</v>
      </c>
      <c r="J231" s="100" t="str">
        <f>CONCATENATE(HLOOKUP($U$1,Phrasing!A:A,46,FALSE),": ",VLOOKUP('Perpetual Pricing'!$J$1,XE!$A:$B,2,FALSE))</f>
        <v>Price: EUR</v>
      </c>
      <c r="K231" s="55" t="str">
        <f>HLOOKUP($U$1,Phrasing!A:A,43,FALSE)</f>
        <v>Part Number</v>
      </c>
    </row>
    <row r="232" spans="1:11">
      <c r="A232" s="264" t="s">
        <v>104</v>
      </c>
      <c r="B232" s="265"/>
      <c r="C232" s="266"/>
      <c r="D232" s="85" t="str">
        <f>TEXT(ROUND(VLOOKUP('Perpetual Pricing'!$J$2,XE!$M$5:$N$6,2,FALSE)*BASE!D231*VLOOKUP('Perpetual Pricing'!$J$1,XE!$A:$F,6,FALSE)* (HLOOKUP($J$3,PARTNERPROGRAM!$D$7:$H$8,2,FALSE)),VLOOKUP('Perpetual Pricing'!$J$1,XE!$A:$H,8,FALSE)),VLOOKUP('Perpetual Pricing'!$J$1,XE!$A:$G,7,FALSE))</f>
        <v>438,6400</v>
      </c>
      <c r="E232" s="42" t="str">
        <f>CONCATENATE(LEFT(BASE!E231,6),VLOOKUP('Perpetual Pricing'!$J$1,XE!$A:$C,3,FALSE),MID(BASE!E231,9,1),IF('Perpetual Pricing'!$J$2="Standard","S","G"),RIGHT(BASE!E231,7))</f>
        <v>BSBS50EUPS0100ZZZ</v>
      </c>
      <c r="F232" s="85" t="str">
        <f>TEXT(ROUND(VLOOKUP('Perpetual Pricing'!$J$2,XE!$M$5:$N$6,2,FALSE)*BASE!F231*VLOOKUP('Perpetual Pricing'!$J$1,XE!$A:$F,6,FALSE)* (HLOOKUP($J$3,PARTNERPROGRAM!$D$7:$H$8,2,FALSE)),VLOOKUP('Perpetual Pricing'!$J$1,XE!$A:$H,8,FALSE)),VLOOKUP('Perpetual Pricing'!$J$1,XE!$A:$G,7,FALSE))</f>
        <v>219,3200</v>
      </c>
      <c r="G232" s="42" t="str">
        <f>CONCATENATE(LEFT(BASE!G231,6),VLOOKUP('Perpetual Pricing'!$J$1,XE!$A:$C,3,FALSE),MID(BASE!G231,9,1),IF('Perpetual Pricing'!$J$2="Standard","S","G"),RIGHT(BASE!G231,7))</f>
        <v>BSBS50EUUS0100ZZZ</v>
      </c>
      <c r="H232" s="85" t="str">
        <f>TEXT(ROUND(VLOOKUP('Perpetual Pricing'!$J$2,XE!$M$5:$N$6,2,FALSE)*BASE!H231*VLOOKUP('Perpetual Pricing'!$J$1,XE!$A:$F,6,FALSE)* (HLOOKUP($J$3,PARTNERPROGRAM!$D$7:$H$8,2,FALSE)),VLOOKUP('Perpetual Pricing'!$J$1,XE!$A:$H,8,FALSE)),VLOOKUP('Perpetual Pricing'!$J$1,XE!$A:$G,7,FALSE))</f>
        <v>87,7300</v>
      </c>
      <c r="I232" s="42" t="str">
        <f>CONCATENATE(LEFT(BASE!I231,6),VLOOKUP('Perpetual Pricing'!$J$1,XE!$A:$C,3,FALSE),MID(BASE!I231,9,1),IF('Perpetual Pricing'!$J$2="Standard","S","G"),RIGHT(BASE!I231,7))</f>
        <v>BSBS50EUMS011YZZZ</v>
      </c>
      <c r="J232" s="85" t="str">
        <f>TEXT(ROUND(VLOOKUP('Perpetual Pricing'!$J$2,XE!$M$5:$N$6,2,FALSE)*BASE!J231*VLOOKUP('Perpetual Pricing'!$J$1,XE!$A:$F,6,FALSE)* (HLOOKUP($J$3,PARTNERPROGRAM!$D$7:$H$8,2,FALSE)),VLOOKUP('Perpetual Pricing'!$J$1,XE!$A:$H,8,FALSE)),VLOOKUP('Perpetual Pricing'!$J$1,XE!$A:$G,7,FALSE))</f>
        <v>65,800</v>
      </c>
      <c r="K232" s="42" t="str">
        <f>CONCATENATE(LEFT(BASE!K231,6),VLOOKUP('Perpetual Pricing'!$J$1,XE!$A:$C,3,FALSE),MID(BASE!K231,9,1),IF('Perpetual Pricing'!$J$2="Standard","S","G"),RIGHT(BASE!K231,7))</f>
        <v>BSBS50EUSS011YZZZ</v>
      </c>
    </row>
    <row r="233" spans="1:11">
      <c r="A233" s="264" t="s">
        <v>109</v>
      </c>
      <c r="B233" s="265"/>
      <c r="C233" s="266"/>
      <c r="D233" s="267" t="s">
        <v>40</v>
      </c>
      <c r="E233" s="267"/>
      <c r="F233" s="85" t="str">
        <f>TEXT(ROUND(VLOOKUP('Perpetual Pricing'!$J$2,XE!$M$5:$N$6,2,FALSE)*BASE!F232*VLOOKUP('Perpetual Pricing'!$J$1,XE!$A:$F,6,FALSE)* (HLOOKUP($J$3,PARTNERPROGRAM!$D$7:$H$8,2,FALSE)),VLOOKUP('Perpetual Pricing'!$J$1,XE!$A:$H,8,FALSE)),VLOOKUP('Perpetual Pricing'!$J$1,XE!$A:$G,7,FALSE))</f>
        <v>656,7600</v>
      </c>
      <c r="G233" s="42" t="str">
        <f>CONCATENATE(LEFT(BASE!G232,6),VLOOKUP('Perpetual Pricing'!$J$1,XE!$A:$C,3,FALSE),MID(BASE!G232,9,1),IF('Perpetual Pricing'!$J$2="Standard","S","G"),RIGHT(BASE!G232,7))</f>
        <v>BSBP50EUUS0200ZZZ</v>
      </c>
      <c r="H233" s="85" t="str">
        <f>TEXT(ROUND(VLOOKUP('Perpetual Pricing'!$J$2,XE!$M$5:$N$6,2,FALSE)*BASE!H232*VLOOKUP('Perpetual Pricing'!$J$1,XE!$A:$F,6,FALSE)* (HLOOKUP($J$3,PARTNERPROGRAM!$D$7:$H$8,2,FALSE)),VLOOKUP('Perpetual Pricing'!$J$1,XE!$A:$H,8,FALSE)),VLOOKUP('Perpetual Pricing'!$J$1,XE!$A:$G,7,FALSE))</f>
        <v>212,500</v>
      </c>
      <c r="I233" s="42" t="str">
        <f>CONCATENATE(LEFT(BASE!I232,6),VLOOKUP('Perpetual Pricing'!$J$1,XE!$A:$C,3,FALSE),MID(BASE!I232,9,1),IF('Perpetual Pricing'!$J$2="Standard","S","G"),RIGHT(BASE!I232,7))</f>
        <v>BSBP50EUMS021YZZZ</v>
      </c>
      <c r="J233" s="85" t="str">
        <f>TEXT(ROUND(VLOOKUP('Perpetual Pricing'!$J$2,XE!$M$5:$N$6,2,FALSE)*BASE!J232*VLOOKUP('Perpetual Pricing'!$J$1,XE!$A:$F,6,FALSE)* (HLOOKUP($J$3,PARTNERPROGRAM!$D$7:$H$8,2,FALSE)),VLOOKUP('Perpetual Pricing'!$J$1,XE!$A:$H,8,FALSE)),VLOOKUP('Perpetual Pricing'!$J$1,XE!$A:$G,7,FALSE))</f>
        <v>159,3700</v>
      </c>
      <c r="K233" s="42" t="str">
        <f>CONCATENATE(LEFT(BASE!K232,6),VLOOKUP('Perpetual Pricing'!$J$1,XE!$A:$C,3,FALSE),MID(BASE!K232,9,1),IF('Perpetual Pricing'!$J$2="Standard","S","G"),RIGHT(BASE!K232,7))</f>
        <v>BSBP50EUSS021YZZZ</v>
      </c>
    </row>
    <row r="234" spans="1:11">
      <c r="A234" s="63"/>
      <c r="B234" s="64"/>
      <c r="C234" s="64"/>
      <c r="D234" s="65"/>
      <c r="E234" s="66"/>
      <c r="F234" s="59"/>
      <c r="G234" s="66"/>
      <c r="H234" s="65"/>
      <c r="I234" s="66"/>
      <c r="J234" s="65"/>
      <c r="K234" s="66"/>
    </row>
    <row r="235" spans="1:11">
      <c r="A235" s="22"/>
      <c r="B235" s="23"/>
      <c r="C235" s="23"/>
      <c r="D235" s="10"/>
      <c r="E235" s="10"/>
      <c r="F235" s="10"/>
      <c r="G235" s="10"/>
      <c r="H235" s="10"/>
      <c r="I235" s="10"/>
      <c r="J235" s="10"/>
      <c r="K235" s="10"/>
    </row>
    <row r="236" spans="1:11" ht="20.25">
      <c r="A236" s="215" t="s">
        <v>113</v>
      </c>
      <c r="B236" s="7"/>
      <c r="C236" s="8"/>
      <c r="D236" s="1"/>
      <c r="E236" s="9"/>
      <c r="F236" s="1"/>
      <c r="G236" s="9"/>
      <c r="H236" s="1"/>
      <c r="I236" s="9"/>
      <c r="J236" s="1"/>
      <c r="K236" s="9"/>
    </row>
    <row r="237" spans="1:11" ht="20.25">
      <c r="A237" s="215" t="s">
        <v>114</v>
      </c>
      <c r="B237" s="18"/>
      <c r="C237" s="18"/>
      <c r="D237" s="21"/>
      <c r="E237" s="9"/>
      <c r="F237" s="1"/>
      <c r="G237" s="9"/>
      <c r="H237" s="1"/>
      <c r="I237" s="9"/>
      <c r="J237" s="1"/>
      <c r="K237" s="13"/>
    </row>
    <row r="238" spans="1:11" ht="15.75" customHeight="1">
      <c r="A238" s="253" t="s">
        <v>2</v>
      </c>
      <c r="B238" s="253"/>
      <c r="C238" s="254"/>
      <c r="D238" s="259" t="str">
        <f>CONCATENATE(IF('Perpetual Pricing'!$J$2="Standard",HLOOKUP($U$1,Phrasing!A:A,48,FALSE),IF('Perpetual Pricing'!$J$2="Gov/Edu/NonProfit",HLOOKUP($U$1,Phrasing!A:A,49,FALSE),"???"))," - ",$J$3,, " - ",VLOOKUP($J$3,PARTNERPROGRAM!$U$5:$V$9,2,FALSE))</f>
        <v>Standard Pricing - Non Partner - SRP</v>
      </c>
      <c r="E238" s="259"/>
      <c r="F238" s="259"/>
      <c r="G238" s="259"/>
      <c r="H238" s="260"/>
      <c r="I238" s="260"/>
      <c r="J238" s="259"/>
      <c r="K238" s="259"/>
    </row>
    <row r="239" spans="1:11" ht="12.75" customHeight="1">
      <c r="A239" s="253"/>
      <c r="B239" s="253"/>
      <c r="C239" s="254"/>
      <c r="D239" s="235" t="str">
        <f>HLOOKUP($U$1,Phrasing!A:A,40,FALSE)</f>
        <v>New</v>
      </c>
      <c r="E239" s="236"/>
      <c r="F239" s="237" t="str">
        <f>HLOOKUP($U$1,Phrasing!A:A,158,FALSE)</f>
        <v>Upgrade</v>
      </c>
      <c r="G239" s="238"/>
      <c r="H239" s="230" t="str">
        <f>HLOOKUP($U$1,Phrasing!A:A,170,FALSE)</f>
        <v>1Yr Maintenance</v>
      </c>
      <c r="I239" s="231"/>
      <c r="J239" s="239" t="str">
        <f>HLOOKUP($U$1,Phrasing!A:A,45,FALSE)</f>
        <v>Premium Support</v>
      </c>
      <c r="K239" s="240"/>
    </row>
    <row r="240" spans="1:11">
      <c r="A240" s="253"/>
      <c r="B240" s="253"/>
      <c r="C240" s="254"/>
      <c r="D240" s="243" t="str">
        <f>HLOOKUP($U$1,Phrasing!A:A,23,FALSE)</f>
        <v>Includes one year of Maintenance</v>
      </c>
      <c r="E240" s="244"/>
      <c r="F240" s="245" t="str">
        <f>HLOOKUP($U$1,Phrasing!A:A,23,FALSE)</f>
        <v>Includes one year of Maintenance</v>
      </c>
      <c r="G240" s="246"/>
      <c r="H240" s="228" t="str">
        <f>HLOOKUP($U$1,Phrasing!A:A,171,FALSE)</f>
        <v>Renewal</v>
      </c>
      <c r="I240" s="229"/>
      <c r="J240" s="241"/>
      <c r="K240" s="242"/>
    </row>
    <row r="241" spans="1:11">
      <c r="A241" s="255"/>
      <c r="B241" s="255"/>
      <c r="C241" s="256"/>
      <c r="D241" s="100" t="str">
        <f>CONCATENATE(HLOOKUP($U$1,Phrasing!A:A,46,FALSE),": ",VLOOKUP('Perpetual Pricing'!$J$1,XE!$A:$B,2,FALSE))</f>
        <v>Price: EUR</v>
      </c>
      <c r="E241" s="38" t="str">
        <f>HLOOKUP($U$1,Phrasing!A:A,43,FALSE)</f>
        <v>Part Number</v>
      </c>
      <c r="F241" s="53" t="s">
        <v>12</v>
      </c>
      <c r="G241" s="38" t="str">
        <f>HLOOKUP($U$1,Phrasing!A:A,43,FALSE)</f>
        <v>Part Number</v>
      </c>
      <c r="H241" s="53" t="s">
        <v>12</v>
      </c>
      <c r="I241" s="96" t="str">
        <f>HLOOKUP($U$1,Phrasing!A:A,43,FALSE)</f>
        <v>Part Number</v>
      </c>
      <c r="J241" s="54" t="s">
        <v>12</v>
      </c>
      <c r="K241" s="55" t="str">
        <f>HLOOKUP($U$1,Phrasing!A:A,43,FALSE)</f>
        <v>Part Number</v>
      </c>
    </row>
    <row r="242" spans="1:11">
      <c r="A242" s="264" t="s">
        <v>104</v>
      </c>
      <c r="B242" s="265"/>
      <c r="C242" s="266"/>
      <c r="D242" s="85" t="str">
        <f>D74</f>
        <v>285,1200</v>
      </c>
      <c r="E242" s="42" t="str">
        <f>CONCATENATE(LEFT(BASE!E241,6),VLOOKUP('Perpetual Pricing'!$J$1,XE!$A:$C,3,FALSE),RIGHT(BASE!E241,9))</f>
        <v>BSBS50EUPC0100ZZZ</v>
      </c>
      <c r="F242" s="279" t="s">
        <v>116</v>
      </c>
      <c r="G242" s="279"/>
      <c r="H242" s="279" t="s">
        <v>117</v>
      </c>
      <c r="I242" s="279"/>
      <c r="J242" s="279" t="s">
        <v>118</v>
      </c>
      <c r="K242" s="279"/>
    </row>
    <row r="243" spans="1:11">
      <c r="A243" s="44" t="s">
        <v>90</v>
      </c>
      <c r="B243" s="64"/>
      <c r="C243" s="64"/>
      <c r="D243" s="65"/>
      <c r="E243" s="66"/>
      <c r="F243" s="67"/>
      <c r="G243" s="67"/>
      <c r="H243" s="67"/>
      <c r="I243" s="67"/>
      <c r="J243" s="67"/>
      <c r="K243" s="67"/>
    </row>
    <row r="244" spans="1:11">
      <c r="A244" s="44" t="str">
        <f>IF(OR('Perpetual Pricing'!$J$1="US-USD", 'Perpetual Pricing'!$J$1="Canada-CAD",'Perpetual Pricing'!$J$1="Canada-French-CAD"),"","")</f>
        <v/>
      </c>
      <c r="B244" s="49"/>
      <c r="C244" s="50"/>
      <c r="D244" s="35"/>
      <c r="E244" s="36"/>
      <c r="F244" s="35"/>
      <c r="G244" s="36"/>
      <c r="H244" s="35"/>
      <c r="I244" s="36"/>
      <c r="J244" s="35"/>
      <c r="K244" s="36"/>
    </row>
    <row r="245" spans="1:11">
      <c r="A245" s="44"/>
      <c r="B245" s="49"/>
      <c r="C245" s="50"/>
      <c r="D245" s="35"/>
      <c r="E245" s="36"/>
      <c r="F245" s="35"/>
      <c r="G245" s="36"/>
      <c r="H245" s="35"/>
      <c r="I245" s="36"/>
      <c r="J245" s="35"/>
      <c r="K245" s="36"/>
    </row>
    <row r="246" spans="1:11">
      <c r="A246" s="14"/>
      <c r="B246" s="7"/>
      <c r="C246" s="8"/>
      <c r="D246" s="1"/>
      <c r="E246" s="9"/>
      <c r="F246" s="1"/>
      <c r="G246" s="9"/>
      <c r="H246" s="1"/>
      <c r="I246" s="9"/>
      <c r="J246" s="1"/>
      <c r="K246" s="9"/>
    </row>
    <row r="247" spans="1:11" ht="20.25">
      <c r="A247" s="215" t="s">
        <v>524</v>
      </c>
      <c r="B247" s="11"/>
      <c r="C247" s="11"/>
      <c r="D247" s="12"/>
      <c r="E247" s="9"/>
      <c r="F247" s="1"/>
      <c r="G247" s="9"/>
      <c r="H247" s="1"/>
      <c r="I247" s="9"/>
      <c r="J247" s="1"/>
      <c r="K247" s="13"/>
    </row>
    <row r="248" spans="1:11" ht="15.75" customHeight="1">
      <c r="A248" s="253" t="str">
        <f>HLOOKUP($U$1,Phrasing!A:A,20,FALSE)</f>
        <v>First year of maintenance is included in the purchase price.  *Premium Support requires an active Maintenance Agreement.</v>
      </c>
      <c r="B248" s="253"/>
      <c r="C248" s="254"/>
      <c r="D248" s="259" t="str">
        <f>CONCATENATE(IF('Perpetual Pricing'!$J$2="Standard",HLOOKUP($U$1,Phrasing!A:A,48,FALSE),IF('Perpetual Pricing'!$J$2="Gov/Edu/NonProfit",HLOOKUP($U$1,Phrasing!A:A,49,FALSE),"???"))," - ",$J$3,, " - ",VLOOKUP($J$3,PARTNERPROGRAM!$U$5:$V$9,2,FALSE))</f>
        <v>Standard Pricing - Non Partner - SRP</v>
      </c>
      <c r="E248" s="259"/>
      <c r="F248" s="259"/>
      <c r="G248" s="259"/>
      <c r="H248" s="260"/>
      <c r="I248" s="260"/>
      <c r="J248" s="259"/>
      <c r="K248" s="259"/>
    </row>
    <row r="249" spans="1:11" ht="12.75" customHeight="1">
      <c r="A249" s="253"/>
      <c r="B249" s="253"/>
      <c r="C249" s="254"/>
      <c r="D249" s="235" t="str">
        <f>HLOOKUP($U$1,Phrasing!A:A,40,FALSE)</f>
        <v>New</v>
      </c>
      <c r="E249" s="236"/>
      <c r="F249" s="237" t="str">
        <f>HLOOKUP($U$1,Phrasing!A:A,158,FALSE)</f>
        <v>Upgrade</v>
      </c>
      <c r="G249" s="238"/>
      <c r="H249" s="230" t="str">
        <f>HLOOKUP($U$1,Phrasing!A:A,170,FALSE)</f>
        <v>1Yr Maintenance</v>
      </c>
      <c r="I249" s="231"/>
      <c r="J249" s="239" t="str">
        <f>HLOOKUP($U$1,Phrasing!A:A,45,FALSE)</f>
        <v>Premium Support</v>
      </c>
      <c r="K249" s="240"/>
    </row>
    <row r="250" spans="1:11">
      <c r="A250" s="255"/>
      <c r="B250" s="255"/>
      <c r="C250" s="256"/>
      <c r="D250" s="243" t="str">
        <f>HLOOKUP($U$1,Phrasing!A:A,23,FALSE)</f>
        <v>Includes one year of Maintenance</v>
      </c>
      <c r="E250" s="244"/>
      <c r="F250" s="245" t="str">
        <f>HLOOKUP($U$1,Phrasing!A:A,23,FALSE)</f>
        <v>Includes one year of Maintenance</v>
      </c>
      <c r="G250" s="246"/>
      <c r="H250" s="228" t="str">
        <f>HLOOKUP($U$1,Phrasing!A:A,171,FALSE)</f>
        <v>Renewal</v>
      </c>
      <c r="I250" s="229"/>
      <c r="J250" s="241"/>
      <c r="K250" s="242"/>
    </row>
    <row r="251" spans="1:11" ht="25.5">
      <c r="A251" s="97" t="str">
        <f>HLOOKUP($U$1,Phrasing!A:A,50,FALSE)</f>
        <v>Quantity</v>
      </c>
      <c r="B251" s="97" t="str">
        <f>HLOOKUP($U$1,Phrasing!A:A,18,FALSE)</f>
        <v>Discount Level</v>
      </c>
      <c r="C251" s="97" t="str">
        <f>HLOOKUP($U$1,Phrasing!A:A,19,FALSE)</f>
        <v>Discount off  single user license</v>
      </c>
      <c r="D251" s="100" t="str">
        <f>CONCATENATE(HLOOKUP($U$1,Phrasing!A:A,46,FALSE),": ",VLOOKUP('Perpetual Pricing'!$J$1,XE!$A:$B,2,FALSE))</f>
        <v>Price: EUR</v>
      </c>
      <c r="E251" s="38" t="str">
        <f>HLOOKUP($U$1,Phrasing!A:A,43,FALSE)</f>
        <v>Part Number</v>
      </c>
      <c r="F251" s="100" t="str">
        <f>CONCATENATE(HLOOKUP($U$1,Phrasing!A:A,46,FALSE),": ",VLOOKUP('Perpetual Pricing'!$J$1,XE!$A:$B,2,FALSE))</f>
        <v>Price: EUR</v>
      </c>
      <c r="G251" s="38" t="str">
        <f>HLOOKUP($U$1,Phrasing!A:A,43,FALSE)</f>
        <v>Part Number</v>
      </c>
      <c r="H251" s="100" t="str">
        <f>CONCATENATE(HLOOKUP($U$1,Phrasing!A:A,46,FALSE),": ",VLOOKUP('Perpetual Pricing'!$J$1,XE!$A:$B,2,FALSE))</f>
        <v>Price: EUR</v>
      </c>
      <c r="I251" s="96" t="str">
        <f>HLOOKUP($U$1,Phrasing!A:A,43,FALSE)</f>
        <v>Part Number</v>
      </c>
      <c r="J251" s="100" t="str">
        <f>CONCATENATE(HLOOKUP($U$1,Phrasing!A:A,46,FALSE),": ",VLOOKUP('Perpetual Pricing'!$J$1,XE!$A:$B,2,FALSE))</f>
        <v>Price: EUR</v>
      </c>
      <c r="K251" s="38" t="str">
        <f>HLOOKUP($U$1,Phrasing!A:A,43,FALSE)</f>
        <v>Part Number</v>
      </c>
    </row>
    <row r="252" spans="1:11">
      <c r="A252" s="40" t="s">
        <v>131</v>
      </c>
      <c r="B252" s="98" t="s">
        <v>15</v>
      </c>
      <c r="C252" s="51">
        <v>0</v>
      </c>
      <c r="D252" s="85" t="str">
        <f>TEXT(ROUND(VLOOKUP('Perpetual Pricing'!$J$2,XE!$M$5:$N$6,2,FALSE)*BASE!D251*VLOOKUP('Perpetual Pricing'!$J$1,XE!$A:$F,6,FALSE)* (HLOOKUP($J$3,PARTNERPROGRAM!$D$7:$H$8,2,FALSE)),VLOOKUP('Perpetual Pricing'!$J$1,XE!$A:$H,8,FALSE)),VLOOKUP('Perpetual Pricing'!$J$1,XE!$A:$G,7,FALSE))</f>
        <v>79,8600</v>
      </c>
      <c r="E252" s="42" t="str">
        <f>CONCATENATE(LEFT(BASE!E251,6),VLOOKUP('Perpetual Pricing'!$J$1,XE!$A:$C,3,FALSE),MID(BASE!E251,9,1),IF('Perpetual Pricing'!$J$2="Standard","S","G"),RIGHT(BASE!E251,7))</f>
        <v>DSPD50EUPS0100ZZZ</v>
      </c>
      <c r="F252" s="85" t="str">
        <f>TEXT(ROUND(VLOOKUP('Perpetual Pricing'!$J$2,XE!$M$5:$N$6,2,FALSE)*BASE!F251*VLOOKUP('Perpetual Pricing'!$J$1,XE!$A:$F,6,FALSE)* (HLOOKUP($J$3,PARTNERPROGRAM!$D$7:$H$8,2,FALSE)),VLOOKUP('Perpetual Pricing'!$J$1,XE!$A:$H,8,FALSE)),VLOOKUP('Perpetual Pricing'!$J$1,XE!$A:$G,7,FALSE))</f>
        <v>39,9300</v>
      </c>
      <c r="G252" s="42" t="str">
        <f>CONCATENATE(LEFT(BASE!G251,6),VLOOKUP('Perpetual Pricing'!$J$1,XE!$A:$C,3,FALSE),MID(BASE!G251,9,1),IF('Perpetual Pricing'!$J$2="Standard","S","G"),RIGHT(BASE!G251,7))</f>
        <v>DSPD50EUUS0100ZZZ</v>
      </c>
      <c r="H252" s="85" t="str">
        <f>TEXT(ROUND(VLOOKUP('Perpetual Pricing'!$J$2,XE!$M$5:$N$6,2,FALSE)*BASE!H251*VLOOKUP('Perpetual Pricing'!$J$1,XE!$A:$F,6,FALSE)* (HLOOKUP($J$3,PARTNERPROGRAM!$D$7:$H$8,2,FALSE)),VLOOKUP('Perpetual Pricing'!$J$1,XE!$A:$H,8,FALSE)),VLOOKUP('Perpetual Pricing'!$J$1,XE!$A:$G,7,FALSE))</f>
        <v>15,9700</v>
      </c>
      <c r="I252" s="42" t="str">
        <f>CONCATENATE(LEFT(BASE!I251,6),VLOOKUP('Perpetual Pricing'!$J$1,XE!$A:$C,3,FALSE),MID(BASE!I251,9,1),IF('Perpetual Pricing'!$J$2="Standard","S","G"),RIGHT(BASE!I251,7))</f>
        <v>DSPD50EUMS011YZZZ</v>
      </c>
      <c r="J252" s="70" t="s">
        <v>40</v>
      </c>
      <c r="K252" s="56" t="s">
        <v>40</v>
      </c>
    </row>
    <row r="253" spans="1:11">
      <c r="A253" s="40" t="s">
        <v>135</v>
      </c>
      <c r="B253" s="98" t="s">
        <v>21</v>
      </c>
      <c r="C253" s="52">
        <f>BASE!$M$2</f>
        <v>0.09</v>
      </c>
      <c r="D253" s="85" t="str">
        <f>TEXT(ROUND(VLOOKUP('Perpetual Pricing'!$J$2,XE!$M$5:$N$6,2,FALSE)*BASE!D252*VLOOKUP('Perpetual Pricing'!$J$1,XE!$A:$F,6,FALSE)* (HLOOKUP($J$3,PARTNERPROGRAM!$D$7:$H$8,2,FALSE)),VLOOKUP('Perpetual Pricing'!$J$1,XE!$A:$H,8,FALSE)),VLOOKUP('Perpetual Pricing'!$J$1,XE!$A:$G,7,FALSE))</f>
        <v>72,6700</v>
      </c>
      <c r="E253" s="42" t="str">
        <f>CONCATENATE(LEFT(BASE!E252,6),VLOOKUP('Perpetual Pricing'!$J$1,XE!$A:$C,3,FALSE),MID(BASE!E252,9,1),IF('Perpetual Pricing'!$J$2="Standard","S","G"),RIGHT(BASE!E252,7))</f>
        <v>DSPD50EUPS0100ZZA</v>
      </c>
      <c r="F253" s="85" t="str">
        <f>TEXT(ROUND(VLOOKUP('Perpetual Pricing'!$J$2,XE!$M$5:$N$6,2,FALSE)*BASE!F252*VLOOKUP('Perpetual Pricing'!$J$1,XE!$A:$F,6,FALSE)* (HLOOKUP($J$3,PARTNERPROGRAM!$D$7:$H$8,2,FALSE)),VLOOKUP('Perpetual Pricing'!$J$1,XE!$A:$H,8,FALSE)),VLOOKUP('Perpetual Pricing'!$J$1,XE!$A:$G,7,FALSE))</f>
        <v>36,3400</v>
      </c>
      <c r="G253" s="42" t="str">
        <f>CONCATENATE(LEFT(BASE!G252,6),VLOOKUP('Perpetual Pricing'!$J$1,XE!$A:$C,3,FALSE),MID(BASE!G252,9,1),IF('Perpetual Pricing'!$J$2="Standard","S","G"),RIGHT(BASE!G252,7))</f>
        <v>DSPD50EUUS0100ZZA</v>
      </c>
      <c r="H253" s="85" t="str">
        <f>TEXT(ROUND(VLOOKUP('Perpetual Pricing'!$J$2,XE!$M$5:$N$6,2,FALSE)*BASE!H252*VLOOKUP('Perpetual Pricing'!$J$1,XE!$A:$F,6,FALSE)* (HLOOKUP($J$3,PARTNERPROGRAM!$D$7:$H$8,2,FALSE)),VLOOKUP('Perpetual Pricing'!$J$1,XE!$A:$H,8,FALSE)),VLOOKUP('Perpetual Pricing'!$J$1,XE!$A:$G,7,FALSE))</f>
        <v>14,5300</v>
      </c>
      <c r="I253" s="42" t="str">
        <f>CONCATENATE(LEFT(BASE!I252,6),VLOOKUP('Perpetual Pricing'!$J$1,XE!$A:$C,3,FALSE),MID(BASE!I252,9,1),IF('Perpetual Pricing'!$J$2="Standard","S","G"),RIGHT(BASE!I252,7))</f>
        <v>DSPD50EUMS011YZZA</v>
      </c>
      <c r="J253" s="85" t="str">
        <f>TEXT(ROUND(VLOOKUP('Perpetual Pricing'!$J$2,XE!$M$5:$N$6,2,FALSE)*BASE!J252*VLOOKUP('Perpetual Pricing'!$J$1,XE!$A:$F,6,FALSE)* (HLOOKUP($J$3,PARTNERPROGRAM!$D$7:$H$8,2,FALSE)),VLOOKUP('Perpetual Pricing'!$J$1,XE!$A:$H,8,FALSE)),VLOOKUP('Perpetual Pricing'!$J$1,XE!$A:$G,7,FALSE))</f>
        <v>10,900</v>
      </c>
      <c r="K253" s="42" t="str">
        <f>CONCATENATE(LEFT(BASE!K252,6),VLOOKUP('Perpetual Pricing'!$J$1,XE!$A:$C,3,FALSE),MID(BASE!K252,9,1),IF('Perpetual Pricing'!$J$2="Standard","S","G"),RIGHT(BASE!K252,7))</f>
        <v>DSPD50EUSS011YZZA</v>
      </c>
    </row>
    <row r="254" spans="1:11">
      <c r="A254" s="43" t="s">
        <v>140</v>
      </c>
      <c r="B254" s="98" t="s">
        <v>27</v>
      </c>
      <c r="C254" s="52">
        <f>BASE!$M$3</f>
        <v>0.23300000000000001</v>
      </c>
      <c r="D254" s="85" t="str">
        <f>TEXT(ROUND(VLOOKUP('Perpetual Pricing'!$J$2,XE!$M$5:$N$6,2,FALSE)*BASE!D253*VLOOKUP('Perpetual Pricing'!$J$1,XE!$A:$F,6,FALSE)* (HLOOKUP($J$3,PARTNERPROGRAM!$D$7:$H$8,2,FALSE)),VLOOKUP('Perpetual Pricing'!$J$1,XE!$A:$H,8,FALSE)),VLOOKUP('Perpetual Pricing'!$J$1,XE!$A:$G,7,FALSE))</f>
        <v>61,2500</v>
      </c>
      <c r="E254" s="42" t="str">
        <f>CONCATENATE(LEFT(BASE!E253,6),VLOOKUP('Perpetual Pricing'!$J$1,XE!$A:$C,3,FALSE),MID(BASE!E253,9,1),IF('Perpetual Pricing'!$J$2="Standard","S","G"),RIGHT(BASE!E253,7))</f>
        <v>DSPD50EUPS0100ZZB</v>
      </c>
      <c r="F254" s="85" t="str">
        <f>TEXT(ROUND(VLOOKUP('Perpetual Pricing'!$J$2,XE!$M$5:$N$6,2,FALSE)*BASE!F253*VLOOKUP('Perpetual Pricing'!$J$1,XE!$A:$F,6,FALSE)* (HLOOKUP($J$3,PARTNERPROGRAM!$D$7:$H$8,2,FALSE)),VLOOKUP('Perpetual Pricing'!$J$1,XE!$A:$H,8,FALSE)),VLOOKUP('Perpetual Pricing'!$J$1,XE!$A:$G,7,FALSE))</f>
        <v>30,6200</v>
      </c>
      <c r="G254" s="42" t="str">
        <f>CONCATENATE(LEFT(BASE!G253,6),VLOOKUP('Perpetual Pricing'!$J$1,XE!$A:$C,3,FALSE),MID(BASE!G253,9,1),IF('Perpetual Pricing'!$J$2="Standard","S","G"),RIGHT(BASE!G253,7))</f>
        <v>DSPD50EUUS0100ZZB</v>
      </c>
      <c r="H254" s="85" t="str">
        <f>TEXT(ROUND(VLOOKUP('Perpetual Pricing'!$J$2,XE!$M$5:$N$6,2,FALSE)*BASE!H253*VLOOKUP('Perpetual Pricing'!$J$1,XE!$A:$F,6,FALSE)* (HLOOKUP($J$3,PARTNERPROGRAM!$D$7:$H$8,2,FALSE)),VLOOKUP('Perpetual Pricing'!$J$1,XE!$A:$H,8,FALSE)),VLOOKUP('Perpetual Pricing'!$J$1,XE!$A:$G,7,FALSE))</f>
        <v>12,2500</v>
      </c>
      <c r="I254" s="42" t="str">
        <f>CONCATENATE(LEFT(BASE!I253,6),VLOOKUP('Perpetual Pricing'!$J$1,XE!$A:$C,3,FALSE),MID(BASE!I253,9,1),IF('Perpetual Pricing'!$J$2="Standard","S","G"),RIGHT(BASE!I253,7))</f>
        <v>DSPD50EUMS011YZZB</v>
      </c>
      <c r="J254" s="85" t="str">
        <f>TEXT(ROUND(VLOOKUP('Perpetual Pricing'!$J$2,XE!$M$5:$N$6,2,FALSE)*BASE!J253*VLOOKUP('Perpetual Pricing'!$J$1,XE!$A:$F,6,FALSE)* (HLOOKUP($J$3,PARTNERPROGRAM!$D$7:$H$8,2,FALSE)),VLOOKUP('Perpetual Pricing'!$J$1,XE!$A:$H,8,FALSE)),VLOOKUP('Perpetual Pricing'!$J$1,XE!$A:$G,7,FALSE))</f>
        <v>9,1900</v>
      </c>
      <c r="K254" s="42" t="str">
        <f>CONCATENATE(LEFT(BASE!K253,6),VLOOKUP('Perpetual Pricing'!$J$1,XE!$A:$C,3,FALSE),MID(BASE!K253,9,1),IF('Perpetual Pricing'!$J$2="Standard","S","G"),RIGHT(BASE!K253,7))</f>
        <v>DSPD50EUSS011YZZB</v>
      </c>
    </row>
    <row r="255" spans="1:11">
      <c r="A255" s="43" t="s">
        <v>145</v>
      </c>
      <c r="B255" s="98" t="s">
        <v>33</v>
      </c>
      <c r="C255" s="52">
        <f>BASE!$M$4</f>
        <v>0.377</v>
      </c>
      <c r="D255" s="85" t="str">
        <f>TEXT(ROUND(VLOOKUP('Perpetual Pricing'!$J$2,XE!$M$5:$N$6,2,FALSE)*BASE!D254*VLOOKUP('Perpetual Pricing'!$J$1,XE!$A:$F,6,FALSE)* (HLOOKUP($J$3,PARTNERPROGRAM!$D$7:$H$8,2,FALSE)),VLOOKUP('Perpetual Pricing'!$J$1,XE!$A:$H,8,FALSE)),VLOOKUP('Perpetual Pricing'!$J$1,XE!$A:$G,7,FALSE))</f>
        <v>49,7500</v>
      </c>
      <c r="E255" s="42" t="str">
        <f>CONCATENATE(LEFT(BASE!E254,6),VLOOKUP('Perpetual Pricing'!$J$1,XE!$A:$C,3,FALSE),MID(BASE!E254,9,1),IF('Perpetual Pricing'!$J$2="Standard","S","G"),RIGHT(BASE!E254,7))</f>
        <v>DSPD50EUPS0100ZZC</v>
      </c>
      <c r="F255" s="85" t="str">
        <f>TEXT(ROUND(VLOOKUP('Perpetual Pricing'!$J$2,XE!$M$5:$N$6,2,FALSE)*BASE!F254*VLOOKUP('Perpetual Pricing'!$J$1,XE!$A:$F,6,FALSE)* (HLOOKUP($J$3,PARTNERPROGRAM!$D$7:$H$8,2,FALSE)),VLOOKUP('Perpetual Pricing'!$J$1,XE!$A:$H,8,FALSE)),VLOOKUP('Perpetual Pricing'!$J$1,XE!$A:$G,7,FALSE))</f>
        <v>24,8700</v>
      </c>
      <c r="G255" s="42" t="str">
        <f>CONCATENATE(LEFT(BASE!G254,6),VLOOKUP('Perpetual Pricing'!$J$1,XE!$A:$C,3,FALSE),MID(BASE!G254,9,1),IF('Perpetual Pricing'!$J$2="Standard","S","G"),RIGHT(BASE!G254,7))</f>
        <v>DSPD50EUUS0100ZZC</v>
      </c>
      <c r="H255" s="85" t="str">
        <f>TEXT(ROUND(VLOOKUP('Perpetual Pricing'!$J$2,XE!$M$5:$N$6,2,FALSE)*BASE!H254*VLOOKUP('Perpetual Pricing'!$J$1,XE!$A:$F,6,FALSE)* (HLOOKUP($J$3,PARTNERPROGRAM!$D$7:$H$8,2,FALSE)),VLOOKUP('Perpetual Pricing'!$J$1,XE!$A:$H,8,FALSE)),VLOOKUP('Perpetual Pricing'!$J$1,XE!$A:$G,7,FALSE))</f>
        <v>9,9500</v>
      </c>
      <c r="I255" s="42" t="str">
        <f>CONCATENATE(LEFT(BASE!I254,6),VLOOKUP('Perpetual Pricing'!$J$1,XE!$A:$C,3,FALSE),MID(BASE!I254,9,1),IF('Perpetual Pricing'!$J$2="Standard","S","G"),RIGHT(BASE!I254,7))</f>
        <v>DSPD50EUMS011YZZC</v>
      </c>
      <c r="J255" s="85" t="str">
        <f>TEXT(ROUND(VLOOKUP('Perpetual Pricing'!$J$2,XE!$M$5:$N$6,2,FALSE)*BASE!J254*VLOOKUP('Perpetual Pricing'!$J$1,XE!$A:$F,6,FALSE)* (HLOOKUP($J$3,PARTNERPROGRAM!$D$7:$H$8,2,FALSE)),VLOOKUP('Perpetual Pricing'!$J$1,XE!$A:$H,8,FALSE)),VLOOKUP('Perpetual Pricing'!$J$1,XE!$A:$G,7,FALSE))</f>
        <v>7,4600</v>
      </c>
      <c r="K255" s="42" t="str">
        <f>CONCATENATE(LEFT(BASE!K254,6),VLOOKUP('Perpetual Pricing'!$J$1,XE!$A:$C,3,FALSE),MID(BASE!K254,9,1),IF('Perpetual Pricing'!$J$2="Standard","S","G"),RIGHT(BASE!K254,7))</f>
        <v>DSPD50EUSS011YZZC</v>
      </c>
    </row>
    <row r="256" spans="1:11">
      <c r="A256" s="264" t="s">
        <v>218</v>
      </c>
      <c r="B256" s="265"/>
      <c r="C256" s="266"/>
      <c r="D256" s="85" t="str">
        <f>TEXT(ROUND(VLOOKUP('Perpetual Pricing'!$J$2,XE!$M$5:$N$6,2,FALSE)*BASE!D255*VLOOKUP('Perpetual Pricing'!$J$1,XE!$A:$F,6,FALSE)* (HLOOKUP($J$3,PARTNERPROGRAM!$D$7:$H$8,2,FALSE)),VLOOKUP('Perpetual Pricing'!$J$1,XE!$A:$H,8,FALSE)),VLOOKUP('Perpetual Pricing'!$J$1,XE!$A:$G,7,FALSE))</f>
        <v>186,8600</v>
      </c>
      <c r="E256" s="42" t="str">
        <f>CONCATENATE(LEFT(BASE!E255,6),VLOOKUP('Perpetual Pricing'!$J$1,XE!$A:$C,3,FALSE),MID(BASE!E255,9,1),IF('Perpetual Pricing'!$J$2="Standard","S","G"),RIGHT(BASE!E255,7))</f>
        <v>DSPD50EUPS0300ZZZ</v>
      </c>
      <c r="F256" s="85" t="str">
        <f>TEXT(ROUND(VLOOKUP('Perpetual Pricing'!$J$2,XE!$M$5:$N$6,2,FALSE)*BASE!F255*VLOOKUP('Perpetual Pricing'!$J$1,XE!$A:$F,6,FALSE)* (HLOOKUP($J$3,PARTNERPROGRAM!$D$7:$H$8,2,FALSE)),VLOOKUP('Perpetual Pricing'!$J$1,XE!$A:$H,8,FALSE)),VLOOKUP('Perpetual Pricing'!$J$1,XE!$A:$G,7,FALSE))</f>
        <v>93,4300</v>
      </c>
      <c r="G256" s="42" t="str">
        <f>CONCATENATE(LEFT(BASE!G255,6),VLOOKUP('Perpetual Pricing'!$J$1,XE!$A:$C,3,FALSE),MID(BASE!G255,9,1),IF('Perpetual Pricing'!$J$2="Standard","S","G"),RIGHT(BASE!G255,7))</f>
        <v>DSPD50EUUS0300ZZZ</v>
      </c>
      <c r="H256" s="85" t="str">
        <f>TEXT(ROUND(VLOOKUP('Perpetual Pricing'!$J$2,XE!$M$5:$N$6,2,FALSE)*BASE!H255*VLOOKUP('Perpetual Pricing'!$J$1,XE!$A:$F,6,FALSE)* (HLOOKUP($J$3,PARTNERPROGRAM!$D$7:$H$8,2,FALSE)),VLOOKUP('Perpetual Pricing'!$J$1,XE!$A:$H,8,FALSE)),VLOOKUP('Perpetual Pricing'!$J$1,XE!$A:$G,7,FALSE))</f>
        <v>37,3800</v>
      </c>
      <c r="I256" s="42" t="str">
        <f>CONCATENATE(LEFT(BASE!I255,6),VLOOKUP('Perpetual Pricing'!$J$1,XE!$A:$C,3,FALSE),MID(BASE!I255,9,1),IF('Perpetual Pricing'!$J$2="Standard","S","G"),RIGHT(BASE!I255,7))</f>
        <v>DSPD50EUMS031YZZZ</v>
      </c>
      <c r="J256" s="70" t="s">
        <v>40</v>
      </c>
      <c r="K256" s="70" t="s">
        <v>40</v>
      </c>
    </row>
    <row r="257" spans="1:11">
      <c r="A257" s="44" t="str">
        <f>HLOOKUP($U$1,Phrasing!A:A,4,FALSE)</f>
        <v>* For higher volume sales, please contact StorageCraft.</v>
      </c>
      <c r="B257" s="7"/>
      <c r="C257" s="8"/>
      <c r="D257" s="1"/>
      <c r="E257" s="9"/>
      <c r="F257" s="1"/>
      <c r="G257" s="9"/>
      <c r="H257" s="1"/>
      <c r="I257" s="9"/>
      <c r="J257" s="1"/>
      <c r="K257" s="9"/>
    </row>
    <row r="258" spans="1:11">
      <c r="A258" s="44"/>
      <c r="B258" s="7"/>
      <c r="C258" s="8"/>
      <c r="D258" s="1"/>
      <c r="E258" s="9"/>
      <c r="F258" s="1"/>
      <c r="G258" s="9"/>
      <c r="H258" s="1"/>
      <c r="I258" s="9"/>
      <c r="J258" s="1"/>
      <c r="K258" s="9"/>
    </row>
    <row r="259" spans="1:11" ht="20.25">
      <c r="A259" s="215" t="s">
        <v>130</v>
      </c>
      <c r="B259" s="11"/>
      <c r="C259" s="11"/>
      <c r="D259" s="12"/>
      <c r="E259" s="9"/>
      <c r="F259" s="1"/>
      <c r="G259" s="9"/>
      <c r="H259" s="1"/>
      <c r="I259" s="9"/>
      <c r="J259" s="1"/>
      <c r="K259" s="13"/>
    </row>
    <row r="260" spans="1:11" ht="20.25">
      <c r="A260" s="215" t="s">
        <v>114</v>
      </c>
      <c r="B260" s="11"/>
      <c r="C260" s="11"/>
      <c r="D260" s="12"/>
      <c r="E260" s="9"/>
      <c r="F260" s="1"/>
      <c r="G260" s="9"/>
      <c r="H260" s="1"/>
      <c r="I260" s="9"/>
      <c r="J260" s="1"/>
      <c r="K260" s="13"/>
    </row>
    <row r="261" spans="1:11" ht="15.75" customHeight="1">
      <c r="A261" s="253" t="str">
        <f>HLOOKUP($U$1,Phrasing!A:A,20,FALSE)</f>
        <v>First year of maintenance is included in the purchase price.  *Premium Support requires an active Maintenance Agreement.</v>
      </c>
      <c r="B261" s="253"/>
      <c r="C261" s="254"/>
      <c r="D261" s="259" t="str">
        <f>CONCATENATE(IF('Perpetual Pricing'!$J$2="Standard",HLOOKUP($U$1,Phrasing!A:A,48,FALSE),IF('Perpetual Pricing'!$J$2="Gov/Edu/NonProfit",HLOOKUP($U$1,Phrasing!A:A,49,FALSE),"???"))," - ",$J$3,, " - ",VLOOKUP($J$3,PARTNERPROGRAM!$U$5:$V$9,2,FALSE))</f>
        <v>Standard Pricing - Non Partner - SRP</v>
      </c>
      <c r="E261" s="259"/>
      <c r="F261" s="259"/>
      <c r="G261" s="259"/>
      <c r="H261" s="260"/>
      <c r="I261" s="260"/>
      <c r="J261" s="259"/>
      <c r="K261" s="259"/>
    </row>
    <row r="262" spans="1:11" ht="12.75" customHeight="1">
      <c r="A262" s="253"/>
      <c r="B262" s="253"/>
      <c r="C262" s="254"/>
      <c r="D262" s="235" t="str">
        <f>HLOOKUP($U$1,Phrasing!A:A,40,FALSE)</f>
        <v>New</v>
      </c>
      <c r="E262" s="236"/>
      <c r="F262" s="237" t="str">
        <f>HLOOKUP($U$1,Phrasing!A:A,158,FALSE)</f>
        <v>Upgrade</v>
      </c>
      <c r="G262" s="238"/>
      <c r="H262" s="230" t="str">
        <f>HLOOKUP($U$1,Phrasing!A:A,170,FALSE)</f>
        <v>1Yr Maintenance</v>
      </c>
      <c r="I262" s="231"/>
      <c r="J262" s="239" t="str">
        <f>HLOOKUP($U$1,Phrasing!A:A,45,FALSE)</f>
        <v>Premium Support</v>
      </c>
      <c r="K262" s="240"/>
    </row>
    <row r="263" spans="1:11">
      <c r="A263" s="255"/>
      <c r="B263" s="255"/>
      <c r="C263" s="256"/>
      <c r="D263" s="243" t="str">
        <f>HLOOKUP($U$1,Phrasing!A:A,23,FALSE)</f>
        <v>Includes one year of Maintenance</v>
      </c>
      <c r="E263" s="244"/>
      <c r="F263" s="245" t="str">
        <f>HLOOKUP($U$1,Phrasing!A:A,23,FALSE)</f>
        <v>Includes one year of Maintenance</v>
      </c>
      <c r="G263" s="246"/>
      <c r="H263" s="228" t="str">
        <f>HLOOKUP($U$1,Phrasing!A:A,171,FALSE)</f>
        <v>Renewal</v>
      </c>
      <c r="I263" s="229"/>
      <c r="J263" s="241"/>
      <c r="K263" s="242"/>
    </row>
    <row r="264" spans="1:11">
      <c r="A264" s="97" t="str">
        <f>HLOOKUP($U$1,Phrasing!A:A,50,FALSE)</f>
        <v>Quantity</v>
      </c>
      <c r="B264" s="268" t="str">
        <f>HLOOKUP($U$1,Phrasing!A:A,18,FALSE)</f>
        <v>Discount Level</v>
      </c>
      <c r="C264" s="268"/>
      <c r="D264" s="100" t="str">
        <f>CONCATENATE(HLOOKUP($U$1,Phrasing!A:A,46,FALSE),": ",VLOOKUP('Perpetual Pricing'!$J$1,XE!$A:$B,2,FALSE))</f>
        <v>Price: EUR</v>
      </c>
      <c r="E264" s="38" t="str">
        <f>HLOOKUP($U$1,Phrasing!A:A,43,FALSE)</f>
        <v>Part Number</v>
      </c>
      <c r="F264" s="100" t="s">
        <v>12</v>
      </c>
      <c r="G264" s="38" t="str">
        <f>HLOOKUP($U$1,Phrasing!A:A,43,FALSE)</f>
        <v>Part Number</v>
      </c>
      <c r="H264" s="39" t="s">
        <v>12</v>
      </c>
      <c r="I264" s="96" t="str">
        <f>HLOOKUP($U$1,Phrasing!A:A,43,FALSE)</f>
        <v>Part Number</v>
      </c>
      <c r="J264" s="100" t="s">
        <v>12</v>
      </c>
      <c r="K264" s="38" t="str">
        <f>HLOOKUP($U$1,Phrasing!A:A,43,FALSE)</f>
        <v>Part Number</v>
      </c>
    </row>
    <row r="265" spans="1:11">
      <c r="A265" s="40" t="s">
        <v>131</v>
      </c>
      <c r="B265" s="269" t="s">
        <v>15</v>
      </c>
      <c r="C265" s="269"/>
      <c r="D265" s="85" t="str">
        <f>D96</f>
        <v>51,9100</v>
      </c>
      <c r="E265" s="42" t="str">
        <f>CONCATENATE(LEFT(BASE!E264,6),VLOOKUP('Perpetual Pricing'!$J$1,XE!$A:$C,3,FALSE),RIGHT(BASE!E264,9))</f>
        <v>DSPD50EUPC0100ZZZ</v>
      </c>
      <c r="F265" s="270" t="s">
        <v>116</v>
      </c>
      <c r="G265" s="271"/>
      <c r="H265" s="270" t="s">
        <v>117</v>
      </c>
      <c r="I265" s="271"/>
      <c r="J265" s="270" t="s">
        <v>118</v>
      </c>
      <c r="K265" s="271"/>
    </row>
    <row r="266" spans="1:11">
      <c r="A266" s="40" t="s">
        <v>135</v>
      </c>
      <c r="B266" s="269" t="s">
        <v>21</v>
      </c>
      <c r="C266" s="269"/>
      <c r="D266" s="85" t="str">
        <f>D97</f>
        <v>47,2400</v>
      </c>
      <c r="E266" s="42" t="str">
        <f>CONCATENATE(LEFT(BASE!E265,6),VLOOKUP('Perpetual Pricing'!$J$1,XE!$A:$C,3,FALSE),RIGHT(BASE!E265,9))</f>
        <v>DSPD50EUPC0100ZZA</v>
      </c>
      <c r="F266" s="271"/>
      <c r="G266" s="271"/>
      <c r="H266" s="271"/>
      <c r="I266" s="271"/>
      <c r="J266" s="271"/>
      <c r="K266" s="271"/>
    </row>
    <row r="267" spans="1:11">
      <c r="A267" s="43" t="s">
        <v>140</v>
      </c>
      <c r="B267" s="269" t="s">
        <v>27</v>
      </c>
      <c r="C267" s="269"/>
      <c r="D267" s="85" t="str">
        <f>D98</f>
        <v>39,8100</v>
      </c>
      <c r="E267" s="42" t="str">
        <f>CONCATENATE(LEFT(BASE!E266,6),VLOOKUP('Perpetual Pricing'!$J$1,XE!$A:$C,3,FALSE),RIGHT(BASE!E266,9))</f>
        <v>DSPD50EUPC0100ZZB</v>
      </c>
      <c r="F267" s="271"/>
      <c r="G267" s="271"/>
      <c r="H267" s="271"/>
      <c r="I267" s="271"/>
      <c r="J267" s="271"/>
      <c r="K267" s="271"/>
    </row>
    <row r="268" spans="1:11">
      <c r="A268" s="43" t="s">
        <v>145</v>
      </c>
      <c r="B268" s="269" t="s">
        <v>33</v>
      </c>
      <c r="C268" s="269"/>
      <c r="D268" s="85" t="str">
        <f>D99</f>
        <v>32,3400</v>
      </c>
      <c r="E268" s="42" t="str">
        <f>CONCATENATE(LEFT(BASE!E267,6),VLOOKUP('Perpetual Pricing'!$J$1,XE!$A:$C,3,FALSE),RIGHT(BASE!E267,9))</f>
        <v>DSPD50EUPC0100ZZC</v>
      </c>
      <c r="F268" s="271"/>
      <c r="G268" s="271"/>
      <c r="H268" s="271"/>
      <c r="I268" s="271"/>
      <c r="J268" s="271"/>
      <c r="K268" s="271"/>
    </row>
    <row r="269" spans="1:11">
      <c r="A269" s="44" t="s">
        <v>90</v>
      </c>
      <c r="B269" s="57"/>
      <c r="C269" s="58"/>
      <c r="D269" s="46"/>
      <c r="E269" s="60"/>
      <c r="F269" s="71"/>
      <c r="G269" s="71"/>
      <c r="H269" s="71"/>
      <c r="I269" s="71"/>
      <c r="J269" s="71"/>
      <c r="K269" s="71"/>
    </row>
    <row r="270" spans="1:11">
      <c r="A270" s="44" t="str">
        <f>HLOOKUP($U$1,Phrasing!A:A,4,FALSE)</f>
        <v>* For higher volume sales, please contact StorageCraft.</v>
      </c>
      <c r="B270" s="7"/>
      <c r="C270" s="8"/>
      <c r="D270" s="1"/>
      <c r="E270" s="9"/>
      <c r="F270" s="1"/>
      <c r="G270" s="9"/>
      <c r="H270" s="1"/>
      <c r="I270" s="9"/>
      <c r="J270" s="1"/>
      <c r="K270" s="9"/>
    </row>
    <row r="271" spans="1:11">
      <c r="A271" s="44" t="str">
        <f>IF(OR('Perpetual Pricing'!$J$1="US-USD", 'Perpetual Pricing'!$J$1="Canada-CAD",'Perpetual Pricing'!$J$1="Canada-French-CAD"),"","")</f>
        <v/>
      </c>
      <c r="B271" s="57"/>
      <c r="C271" s="58"/>
      <c r="D271" s="46"/>
      <c r="E271" s="60"/>
      <c r="F271" s="71"/>
      <c r="G271" s="71"/>
      <c r="H271" s="71"/>
      <c r="I271" s="71"/>
      <c r="J271" s="71"/>
      <c r="K271" s="71"/>
    </row>
    <row r="272" spans="1:11">
      <c r="A272" s="7"/>
      <c r="B272" s="7"/>
      <c r="C272" s="8"/>
      <c r="D272" s="1"/>
      <c r="E272" s="9"/>
      <c r="F272" s="1"/>
      <c r="G272" s="9"/>
      <c r="H272" s="1"/>
      <c r="I272" s="9"/>
      <c r="J272" s="1"/>
      <c r="K272" s="9"/>
    </row>
    <row r="273" spans="1:11" ht="20.25">
      <c r="A273" s="215" t="s">
        <v>521</v>
      </c>
      <c r="B273" s="34"/>
      <c r="C273" s="34"/>
      <c r="D273" s="34"/>
      <c r="E273" s="10"/>
      <c r="F273" s="10"/>
      <c r="G273" s="10"/>
      <c r="H273" s="10"/>
      <c r="I273" s="10"/>
      <c r="J273" s="10"/>
      <c r="K273" s="13"/>
    </row>
    <row r="274" spans="1:11" ht="15.75" customHeight="1">
      <c r="A274" s="280" t="s">
        <v>175</v>
      </c>
      <c r="B274" s="280"/>
      <c r="C274" s="254"/>
      <c r="D274" s="259" t="str">
        <f>CONCATENATE(IF('Perpetual Pricing'!$J$2="Standard",HLOOKUP($U$1,Phrasing!A:A,48,FALSE),IF('Perpetual Pricing'!$J$2="Gov/Edu/NonProfit",HLOOKUP($U$1,Phrasing!A:A,49,FALSE),"???"))," - ",$J$3,, " - ",VLOOKUP($J$3,PARTNERPROGRAM!$U$5:$V$9,2,FALSE))</f>
        <v>Standard Pricing - Non Partner - SRP</v>
      </c>
      <c r="E274" s="259"/>
      <c r="F274" s="259"/>
      <c r="G274" s="259"/>
      <c r="H274" s="260"/>
      <c r="I274" s="260"/>
      <c r="J274" s="259"/>
      <c r="K274" s="259"/>
    </row>
    <row r="275" spans="1:11" ht="21" customHeight="1">
      <c r="A275" s="280"/>
      <c r="B275" s="280"/>
      <c r="C275" s="254"/>
      <c r="D275" s="281" t="str">
        <f>HLOOKUP($U$1,Phrasing!A:A,40,FALSE)</f>
        <v>New</v>
      </c>
      <c r="E275" s="281"/>
      <c r="F275" s="282" t="str">
        <f>HLOOKUP($U$1,Phrasing!A:A,171,FALSE)</f>
        <v>Renewal</v>
      </c>
      <c r="G275" s="282"/>
      <c r="H275" s="283" t="s">
        <v>177</v>
      </c>
      <c r="I275" s="283"/>
      <c r="J275" s="284" t="s">
        <v>178</v>
      </c>
      <c r="K275" s="284"/>
    </row>
    <row r="276" spans="1:11" ht="18" customHeight="1">
      <c r="A276" s="255"/>
      <c r="B276" s="255"/>
      <c r="C276" s="256"/>
      <c r="D276" s="100" t="str">
        <f>CONCATENATE(HLOOKUP($U$1,Phrasing!A:A,46,FALSE),": ",VLOOKUP('Perpetual Pricing'!$J$1,XE!$A:$B,2,FALSE))</f>
        <v>Price: EUR</v>
      </c>
      <c r="E276" s="72" t="str">
        <f>HLOOKUP($U$1,Phrasing!A:A,43,FALSE)</f>
        <v>Part Number</v>
      </c>
      <c r="F276" s="100" t="str">
        <f>CONCATENATE(HLOOKUP($U$1,Phrasing!A:A,46,FALSE),": ",VLOOKUP('Perpetual Pricing'!$J$1,XE!$A:$B,2,FALSE))</f>
        <v>Price: EUR</v>
      </c>
      <c r="G276" s="72" t="str">
        <f>HLOOKUP($U$1,Phrasing!A:A,43,FALSE)</f>
        <v>Part Number</v>
      </c>
      <c r="H276" s="99" t="s">
        <v>12</v>
      </c>
      <c r="I276" s="72" t="str">
        <f>HLOOKUP($U$1,Phrasing!A:A,43,FALSE)</f>
        <v>Part Number</v>
      </c>
      <c r="J276" s="99" t="s">
        <v>12</v>
      </c>
      <c r="K276" s="72" t="str">
        <f>HLOOKUP($U$1,Phrasing!A:A,43,FALSE)</f>
        <v>Part Number</v>
      </c>
    </row>
    <row r="277" spans="1:11">
      <c r="A277" s="285" t="s">
        <v>179</v>
      </c>
      <c r="B277" s="285"/>
      <c r="C277" s="285"/>
      <c r="D277" s="85" t="str">
        <f>TEXT(ROUND(VLOOKUP('Perpetual Pricing'!$J$2,XE!$M$5:$N$6,2,FALSE)*BASE!D277*VLOOKUP('Perpetual Pricing'!$J$1,XE!$A:$F,6,FALSE)* (HLOOKUP($J$3,PARTNERPROGRAM!$D$7:$H$8,2,FALSE)),VLOOKUP('Perpetual Pricing'!$J$1,XE!$A:$H,8,FALSE)),VLOOKUP('Perpetual Pricing'!$J$1,XE!$A:$G,7,FALSE))</f>
        <v>2796,4200</v>
      </c>
      <c r="E277" s="42" t="str">
        <f>CONCATENATE(LEFT(BASE!E277,6),VLOOKUP('Perpetual Pricing'!$J$1,XE!$A:$C,3,FALSE),MID(BASE!E277,9,1),IF('Perpetual Pricing'!$J$2="Standard","S","G"),RIGHT(BASE!E277,7))</f>
        <v>ISPI50EUNS011YZZZ</v>
      </c>
      <c r="F277" s="85" t="str">
        <f>TEXT(ROUND(VLOOKUP('Perpetual Pricing'!$J$2,XE!$M$5:$N$6,2,FALSE)*BASE!F277*VLOOKUP('Perpetual Pricing'!$J$1,XE!$A:$F,6,FALSE)* (HLOOKUP($J$3,PARTNERPROGRAM!$D$7:$H$8,2,FALSE)),VLOOKUP('Perpetual Pricing'!$J$1,XE!$A:$H,8,FALSE)),VLOOKUP('Perpetual Pricing'!$J$1,XE!$A:$G,7,FALSE))</f>
        <v>1997,4400</v>
      </c>
      <c r="G277" s="42" t="str">
        <f>CONCATENATE(LEFT(BASE!G277,6),VLOOKUP('Perpetual Pricing'!$J$1,XE!$A:$C,3,FALSE),MID(BASE!G277,9,1),IF('Perpetual Pricing'!$J$2="Standard","S","G"),RIGHT(BASE!G277,7))</f>
        <v>ISPI50EUNS011YZRZ</v>
      </c>
      <c r="H277" s="287" t="s">
        <v>175</v>
      </c>
      <c r="I277" s="287"/>
      <c r="J277" s="287" t="s">
        <v>182</v>
      </c>
      <c r="K277" s="287"/>
    </row>
    <row r="278" spans="1:11">
      <c r="A278" s="285" t="s">
        <v>183</v>
      </c>
      <c r="B278" s="285"/>
      <c r="C278" s="285"/>
      <c r="D278" s="85" t="str">
        <f>TEXT(ROUND(VLOOKUP('Perpetual Pricing'!$J$2,XE!$M$5:$N$6,2,FALSE)*BASE!D278*VLOOKUP('Perpetual Pricing'!$J$1,XE!$A:$F,6,FALSE)* (HLOOKUP($J$3,PARTNERPROGRAM!$D$7:$H$8,2,FALSE)),VLOOKUP('Perpetual Pricing'!$J$1,XE!$A:$H,8,FALSE)),VLOOKUP('Perpetual Pricing'!$J$1,XE!$A:$G,7,FALSE))</f>
        <v>1597,9500</v>
      </c>
      <c r="E278" s="42" t="str">
        <f>CONCATENATE(LEFT(BASE!E278,6),VLOOKUP('Perpetual Pricing'!$J$1,XE!$A:$C,3,FALSE),MID(BASE!E278,9,1),IF('Perpetual Pricing'!$J$2="Standard","S","G"),RIGHT(BASE!E278,7))</f>
        <v>IADD50EUNS011YZZZ</v>
      </c>
      <c r="F278" s="85" t="str">
        <f>TEXT(ROUND(VLOOKUP('Perpetual Pricing'!$J$2,XE!$M$5:$N$6,2,FALSE)*BASE!F278*VLOOKUP('Perpetual Pricing'!$J$1,XE!$A:$F,6,FALSE)* (HLOOKUP($J$3,PARTNERPROGRAM!$D$7:$H$8,2,FALSE)),VLOOKUP('Perpetual Pricing'!$J$1,XE!$A:$H,8,FALSE)),VLOOKUP('Perpetual Pricing'!$J$1,XE!$A:$G,7,FALSE))</f>
        <v>1198,4700</v>
      </c>
      <c r="G278" s="42" t="str">
        <f>CONCATENATE(LEFT(BASE!G278,6),VLOOKUP('Perpetual Pricing'!$J$1,XE!$A:$C,3,FALSE),MID(BASE!G278,9,1),IF('Perpetual Pricing'!$J$2="Standard","S","G"),RIGHT(BASE!G278,7))</f>
        <v>IADD50EUNS011YZRZ</v>
      </c>
      <c r="H278" s="287"/>
      <c r="I278" s="287"/>
      <c r="J278" s="287"/>
      <c r="K278" s="287"/>
    </row>
    <row r="279" spans="1:11">
      <c r="A279" s="285" t="s">
        <v>186</v>
      </c>
      <c r="B279" s="285"/>
      <c r="C279" s="285"/>
      <c r="D279" s="85" t="str">
        <f>TEXT(ROUND(VLOOKUP('Perpetual Pricing'!$J$2,XE!$M$5:$N$6,2,FALSE)*BASE!D279*VLOOKUP('Perpetual Pricing'!$J$1,XE!$A:$F,6,FALSE)* (HLOOKUP($J$3,PARTNERPROGRAM!$D$7:$H$8,2,FALSE)),VLOOKUP('Perpetual Pricing'!$J$1,XE!$A:$H,8,FALSE)),VLOOKUP('Perpetual Pricing'!$J$1,XE!$A:$G,7,FALSE))</f>
        <v>1048,6600</v>
      </c>
      <c r="E279" s="42" t="str">
        <f>CONCATENATE(LEFT(BASE!E279,6),VLOOKUP('Perpetual Pricing'!$J$1,XE!$A:$C,3,FALSE),MID(BASE!E279,9,1),IF('Perpetual Pricing'!$J$2="Standard","S","G"),RIGHT(BASE!E279,7))</f>
        <v>ISPI50EUNS013MZZZ</v>
      </c>
      <c r="F279" s="85" t="str">
        <f>TEXT(ROUND(VLOOKUP('Perpetual Pricing'!$J$2,XE!$M$5:$N$6,2,FALSE)*BASE!F279*VLOOKUP('Perpetual Pricing'!$J$1,XE!$A:$F,6,FALSE)* (HLOOKUP($J$3,PARTNERPROGRAM!$D$7:$H$8,2,FALSE)),VLOOKUP('Perpetual Pricing'!$J$1,XE!$A:$H,8,FALSE)),VLOOKUP('Perpetual Pricing'!$J$1,XE!$A:$G,7,FALSE))</f>
        <v>1048,6600</v>
      </c>
      <c r="G279" s="42" t="str">
        <f>CONCATENATE(LEFT(BASE!G279,6),VLOOKUP('Perpetual Pricing'!$J$1,XE!$A:$C,3,FALSE),MID(BASE!G279,9,1),IF('Perpetual Pricing'!$J$2="Standard","S","G"),RIGHT(BASE!G279,7))</f>
        <v>ISPI50EUNS013MZRZ</v>
      </c>
      <c r="H279" s="287"/>
      <c r="I279" s="287"/>
      <c r="J279" s="287"/>
      <c r="K279" s="287"/>
    </row>
    <row r="280" spans="1:11">
      <c r="A280" s="285" t="s">
        <v>189</v>
      </c>
      <c r="B280" s="285"/>
      <c r="C280" s="285"/>
      <c r="D280" s="85" t="str">
        <f>TEXT(ROUND(VLOOKUP('Perpetual Pricing'!$J$2,XE!$M$5:$N$6,2,FALSE)*BASE!D280*VLOOKUP('Perpetual Pricing'!$J$1,XE!$A:$F,6,FALSE)* (HLOOKUP($J$3,PARTNERPROGRAM!$D$7:$H$8,2,FALSE)),VLOOKUP('Perpetual Pricing'!$J$1,XE!$A:$H,8,FALSE)),VLOOKUP('Perpetual Pricing'!$J$1,XE!$A:$G,7,FALSE))</f>
        <v>396,2900</v>
      </c>
      <c r="E280" s="42" t="str">
        <f>CONCATENATE(LEFT(BASE!E280,6),VLOOKUP('Perpetual Pricing'!$J$1,XE!$A:$C,3,FALSE),MID(BASE!E280,9,1),IF('Perpetual Pricing'!$J$2="Standard","S","G"),RIGHT(BASE!E280,7))</f>
        <v>ISPI50EUNS011MZZZ</v>
      </c>
      <c r="F280" s="85" t="str">
        <f>TEXT(ROUND(VLOOKUP('Perpetual Pricing'!$J$2,XE!$M$5:$N$6,2,FALSE)*BASE!F280*VLOOKUP('Perpetual Pricing'!$J$1,XE!$A:$F,6,FALSE)* (HLOOKUP($J$3,PARTNERPROGRAM!$D$7:$H$8,2,FALSE)),VLOOKUP('Perpetual Pricing'!$J$1,XE!$A:$H,8,FALSE)),VLOOKUP('Perpetual Pricing'!$J$1,XE!$A:$G,7,FALSE))</f>
        <v>396,2900</v>
      </c>
      <c r="G280" s="42" t="str">
        <f>CONCATENATE(LEFT(BASE!G280,6),VLOOKUP('Perpetual Pricing'!$J$1,XE!$A:$C,3,FALSE),MID(BASE!G280,9,1),IF('Perpetual Pricing'!$J$2="Standard","S","G"),RIGHT(BASE!G280,7))</f>
        <v>ISPI50EUNS011MZRZ</v>
      </c>
      <c r="H280" s="287"/>
      <c r="I280" s="287"/>
      <c r="J280" s="287"/>
      <c r="K280" s="287"/>
    </row>
    <row r="281" spans="1:11">
      <c r="A281" s="285" t="s">
        <v>192</v>
      </c>
      <c r="B281" s="285"/>
      <c r="C281" s="285"/>
      <c r="D281" s="85" t="str">
        <f>TEXT(ROUND(VLOOKUP('Perpetual Pricing'!$J$2,XE!$M$5:$N$6,2,FALSE)*BASE!D281*VLOOKUP('Perpetual Pricing'!$J$1,XE!$A:$F,6,FALSE)* (HLOOKUP($J$3,PARTNERPROGRAM!$D$7:$H$8,2,FALSE)),VLOOKUP('Perpetual Pricing'!$J$1,XE!$A:$H,8,FALSE)),VLOOKUP('Perpetual Pricing'!$J$1,XE!$A:$G,7,FALSE))</f>
        <v>203,7400</v>
      </c>
      <c r="E281" s="42" t="str">
        <f>CONCATENATE(LEFT(BASE!E281,6),VLOOKUP('Perpetual Pricing'!$J$1,XE!$A:$C,3,FALSE),MID(BASE!E281,9,1),IF('Perpetual Pricing'!$J$2="Standard","S","G"),RIGHT(BASE!E281,7))</f>
        <v>ISPI50EUNS012WZZZ</v>
      </c>
      <c r="F281" s="85" t="str">
        <f>TEXT(ROUND(VLOOKUP('Perpetual Pricing'!$J$2,XE!$M$5:$N$6,2,FALSE)*BASE!F281*VLOOKUP('Perpetual Pricing'!$J$1,XE!$A:$F,6,FALSE)* (HLOOKUP($J$3,PARTNERPROGRAM!$D$7:$H$8,2,FALSE)),VLOOKUP('Perpetual Pricing'!$J$1,XE!$A:$H,8,FALSE)),VLOOKUP('Perpetual Pricing'!$J$1,XE!$A:$G,7,FALSE))</f>
        <v>203,7400</v>
      </c>
      <c r="G281" s="42" t="str">
        <f>CONCATENATE(LEFT(BASE!G281,6),VLOOKUP('Perpetual Pricing'!$J$1,XE!$A:$C,3,FALSE),MID(BASE!G281,9,1),IF('Perpetual Pricing'!$J$2="Standard","S","G"),RIGHT(BASE!G281,7))</f>
        <v>ISPI50EUNS012WZRZ</v>
      </c>
      <c r="H281" s="287"/>
      <c r="I281" s="287"/>
      <c r="J281" s="287"/>
      <c r="K281" s="287"/>
    </row>
    <row r="282" spans="1:11">
      <c r="A282" s="286" t="s">
        <v>195</v>
      </c>
      <c r="B282" s="286"/>
      <c r="C282" s="286"/>
      <c r="D282" s="85" t="str">
        <f>TEXT(ROUND(VLOOKUP('Perpetual Pricing'!$J$2,XE!$M$5:$N$6,2,FALSE)*BASE!D282*VLOOKUP('Perpetual Pricing'!$J$1,XE!$A:$F,6,FALSE)* (HLOOKUP($J$3,PARTNERPROGRAM!$D$7:$H$8,2,FALSE)),VLOOKUP('Perpetual Pricing'!$J$1,XE!$A:$H,8,FALSE)),VLOOKUP('Perpetual Pricing'!$J$1,XE!$A:$G,7,FALSE))</f>
        <v>15,9800</v>
      </c>
      <c r="E282" s="42" t="str">
        <f>CONCATENATE(LEFT(BASE!E282,6),VLOOKUP('Perpetual Pricing'!$J$1,XE!$A:$C,3,FALSE),MID(BASE!E282,9,1),IF('Perpetual Pricing'!$J$2="Standard","S","G"),RIGHT(BASE!E282,7))</f>
        <v>IUSB50EUXS0100ZZZ</v>
      </c>
      <c r="F282" s="287" t="s">
        <v>40</v>
      </c>
      <c r="G282" s="287"/>
      <c r="H282" s="287"/>
      <c r="I282" s="287"/>
      <c r="J282" s="287"/>
      <c r="K282" s="287"/>
    </row>
    <row r="283" spans="1:11">
      <c r="A283" s="285" t="s">
        <v>197</v>
      </c>
      <c r="B283" s="285"/>
      <c r="C283" s="285"/>
      <c r="D283" s="85" t="str">
        <f>TEXT(ROUND(VLOOKUP('Perpetual Pricing'!$J$2,XE!$M$5:$N$6,2,FALSE)*BASE!D283*VLOOKUP('Perpetual Pricing'!$J$1,XE!$A:$F,6,FALSE)* (HLOOKUP($J$3,PARTNERPROGRAM!$D$7:$H$8,2,FALSE)),VLOOKUP('Perpetual Pricing'!$J$1,XE!$A:$H,8,FALSE)),VLOOKUP('Perpetual Pricing'!$J$1,XE!$A:$G,7,FALSE))</f>
        <v>5029,5600</v>
      </c>
      <c r="E283" s="42" t="str">
        <f>CONCATENATE(LEFT(BASE!E283,6),VLOOKUP('Perpetual Pricing'!$J$1,XE!$A:$C,3,FALSE),MID(BASE!E283,9,1),IF('Perpetual Pricing'!$J$2="Standard","S","G"),RIGHT(BASE!E283,7))</f>
        <v>IPRO50EUNS011YZZZ</v>
      </c>
      <c r="F283" s="85" t="str">
        <f>TEXT(ROUND(VLOOKUP('Perpetual Pricing'!$J$2,XE!$M$5:$N$6,2,FALSE)*BASE!F283*VLOOKUP('Perpetual Pricing'!$J$1,XE!$A:$F,6,FALSE)* (HLOOKUP($J$3,PARTNERPROGRAM!$D$7:$H$8,2,FALSE)),VLOOKUP('Perpetual Pricing'!$J$1,XE!$A:$H,8,FALSE)),VLOOKUP('Perpetual Pricing'!$J$1,XE!$A:$G,7,FALSE))</f>
        <v>3595,400</v>
      </c>
      <c r="G283" s="42" t="str">
        <f>CONCATENATE(LEFT(BASE!G283,6),VLOOKUP('Perpetual Pricing'!$J$1,XE!$A:$C,3,FALSE),MID(BASE!G283,9,1),IF('Perpetual Pricing'!$J$2="Standard","S","G"),RIGHT(BASE!G283,7))</f>
        <v>IPRO50EUNS011YZRZ</v>
      </c>
      <c r="H283" s="287"/>
      <c r="I283" s="287"/>
      <c r="J283" s="287"/>
      <c r="K283" s="287"/>
    </row>
    <row r="284" spans="1:11">
      <c r="A284" s="285" t="s">
        <v>200</v>
      </c>
      <c r="B284" s="285"/>
      <c r="C284" s="285"/>
      <c r="D284" s="85" t="str">
        <f>TEXT(ROUND(VLOOKUP('Perpetual Pricing'!$J$2,XE!$M$5:$N$6,2,FALSE)*BASE!D284*VLOOKUP('Perpetual Pricing'!$J$1,XE!$A:$F,6,FALSE)* (HLOOKUP($J$3,PARTNERPROGRAM!$D$7:$H$8,2,FALSE)),VLOOKUP('Perpetual Pricing'!$J$1,XE!$A:$H,8,FALSE)),VLOOKUP('Perpetual Pricing'!$J$1,XE!$A:$G,7,FALSE))</f>
        <v>2872,3200</v>
      </c>
      <c r="E284" s="42" t="str">
        <f>CONCATENATE(LEFT(BASE!E284,6),VLOOKUP('Perpetual Pricing'!$J$1,XE!$A:$C,3,FALSE),MID(BASE!E284,9,1),IF('Perpetual Pricing'!$J$2="Standard","S","G"),RIGHT(BASE!E284,7))</f>
        <v>IADP50EUNS011YZZZ</v>
      </c>
      <c r="F284" s="85" t="str">
        <f>TEXT(ROUND(VLOOKUP('Perpetual Pricing'!$J$2,XE!$M$5:$N$6,2,FALSE)*BASE!F284*VLOOKUP('Perpetual Pricing'!$J$1,XE!$A:$F,6,FALSE)* (HLOOKUP($J$3,PARTNERPROGRAM!$D$7:$H$8,2,FALSE)),VLOOKUP('Perpetual Pricing'!$J$1,XE!$A:$H,8,FALSE)),VLOOKUP('Perpetual Pricing'!$J$1,XE!$A:$G,7,FALSE))</f>
        <v>2154,2400</v>
      </c>
      <c r="G284" s="42" t="str">
        <f>CONCATENATE(LEFT(BASE!G284,6),VLOOKUP('Perpetual Pricing'!$J$1,XE!$A:$C,3,FALSE),MID(BASE!G284,9,1),IF('Perpetual Pricing'!$J$2="Standard","S","G"),RIGHT(BASE!G284,7))</f>
        <v>IADP50EUNS011YZRZ</v>
      </c>
      <c r="H284" s="287"/>
      <c r="I284" s="287"/>
      <c r="J284" s="287"/>
      <c r="K284" s="287"/>
    </row>
    <row r="285" spans="1:11">
      <c r="A285" s="285" t="s">
        <v>203</v>
      </c>
      <c r="B285" s="285"/>
      <c r="C285" s="285"/>
      <c r="D285" s="85" t="str">
        <f>TEXT(ROUND(VLOOKUP('Perpetual Pricing'!$J$2,XE!$M$5:$N$6,2,FALSE)*BASE!D285*VLOOKUP('Perpetual Pricing'!$J$1,XE!$A:$F,6,FALSE)* (HLOOKUP($J$3,PARTNERPROGRAM!$D$7:$H$8,2,FALSE)),VLOOKUP('Perpetual Pricing'!$J$1,XE!$A:$H,8,FALSE)),VLOOKUP('Perpetual Pricing'!$J$1,XE!$A:$G,7,FALSE))</f>
        <v>1877,600</v>
      </c>
      <c r="E285" s="42" t="str">
        <f>CONCATENATE(LEFT(BASE!E285,6),VLOOKUP('Perpetual Pricing'!$J$1,XE!$A:$C,3,FALSE),MID(BASE!E285,9,1),IF('Perpetual Pricing'!$J$2="Standard","S","G"),RIGHT(BASE!E285,7))</f>
        <v>IPRO50EUNS013MZZZ</v>
      </c>
      <c r="F285" s="85" t="str">
        <f>TEXT(ROUND(VLOOKUP('Perpetual Pricing'!$J$2,XE!$M$5:$N$6,2,FALSE)*BASE!F285*VLOOKUP('Perpetual Pricing'!$J$1,XE!$A:$F,6,FALSE)* (HLOOKUP($J$3,PARTNERPROGRAM!$D$7:$H$8,2,FALSE)),VLOOKUP('Perpetual Pricing'!$J$1,XE!$A:$H,8,FALSE)),VLOOKUP('Perpetual Pricing'!$J$1,XE!$A:$G,7,FALSE))</f>
        <v>1877,600</v>
      </c>
      <c r="G285" s="42" t="str">
        <f>CONCATENATE(LEFT(BASE!G285,6),VLOOKUP('Perpetual Pricing'!$J$1,XE!$A:$C,3,FALSE),MID(BASE!G285,9,1),IF('Perpetual Pricing'!$J$2="Standard","S","G"),RIGHT(BASE!G285,7))</f>
        <v>IPRO50EUNS013MZRZ</v>
      </c>
      <c r="H285" s="287"/>
      <c r="I285" s="287"/>
      <c r="J285" s="287"/>
      <c r="K285" s="287"/>
    </row>
    <row r="286" spans="1:11">
      <c r="A286" s="285" t="s">
        <v>206</v>
      </c>
      <c r="B286" s="285"/>
      <c r="C286" s="285"/>
      <c r="D286" s="85" t="str">
        <f>TEXT(ROUND(VLOOKUP('Perpetual Pricing'!$J$2,XE!$M$5:$N$6,2,FALSE)*BASE!D286*VLOOKUP('Perpetual Pricing'!$J$1,XE!$A:$F,6,FALSE)* (HLOOKUP($J$3,PARTNERPROGRAM!$D$7:$H$8,2,FALSE)),VLOOKUP('Perpetual Pricing'!$J$1,XE!$A:$H,8,FALSE)),VLOOKUP('Perpetual Pricing'!$J$1,XE!$A:$G,7,FALSE))</f>
        <v>711,0900</v>
      </c>
      <c r="E286" s="42" t="str">
        <f>CONCATENATE(LEFT(BASE!E286,6),VLOOKUP('Perpetual Pricing'!$J$1,XE!$A:$C,3,FALSE),MID(BASE!E286,9,1),IF('Perpetual Pricing'!$J$2="Standard","S","G"),RIGHT(BASE!E286,7))</f>
        <v>IPRO50EUNS011MZZZ</v>
      </c>
      <c r="F286" s="85" t="str">
        <f>TEXT(ROUND(VLOOKUP('Perpetual Pricing'!$J$2,XE!$M$5:$N$6,2,FALSE)*BASE!F286*VLOOKUP('Perpetual Pricing'!$J$1,XE!$A:$F,6,FALSE)* (HLOOKUP($J$3,PARTNERPROGRAM!$D$7:$H$8,2,FALSE)),VLOOKUP('Perpetual Pricing'!$J$1,XE!$A:$H,8,FALSE)),VLOOKUP('Perpetual Pricing'!$J$1,XE!$A:$G,7,FALSE))</f>
        <v>711,0900</v>
      </c>
      <c r="G286" s="42" t="str">
        <f>CONCATENATE(LEFT(BASE!G286,6),VLOOKUP('Perpetual Pricing'!$J$1,XE!$A:$C,3,FALSE),MID(BASE!G286,9,1),IF('Perpetual Pricing'!$J$2="Standard","S","G"),RIGHT(BASE!G286,7))</f>
        <v>IPRO50EUNS011MZRZ</v>
      </c>
      <c r="H286" s="287"/>
      <c r="I286" s="287"/>
      <c r="J286" s="287"/>
      <c r="K286" s="287"/>
    </row>
    <row r="287" spans="1:11">
      <c r="A287" s="285" t="s">
        <v>209</v>
      </c>
      <c r="B287" s="285"/>
      <c r="C287" s="285"/>
      <c r="D287" s="85" t="str">
        <f>TEXT(ROUND(VLOOKUP('Perpetual Pricing'!$J$2,XE!$M$5:$N$6,2,FALSE)*BASE!D287*VLOOKUP('Perpetual Pricing'!$J$1,XE!$A:$F,6,FALSE)* (HLOOKUP($J$3,PARTNERPROGRAM!$D$7:$H$8,2,FALSE)),VLOOKUP('Perpetual Pricing'!$J$1,XE!$A:$H,8,FALSE)),VLOOKUP('Perpetual Pricing'!$J$1,XE!$A:$G,7,FALSE))</f>
        <v>358,7400</v>
      </c>
      <c r="E287" s="42" t="str">
        <f>CONCATENATE(LEFT(BASE!E287,6),VLOOKUP('Perpetual Pricing'!$J$1,XE!$A:$C,3,FALSE),MID(BASE!E287,9,1),IF('Perpetual Pricing'!$J$2="Standard","S","G"),RIGHT(BASE!E287,7))</f>
        <v>IPRO50EUNS012WZZZ</v>
      </c>
      <c r="F287" s="85" t="str">
        <f>TEXT(ROUND(VLOOKUP('Perpetual Pricing'!$J$2,XE!$M$5:$N$6,2,FALSE)*BASE!F287*VLOOKUP('Perpetual Pricing'!$J$1,XE!$A:$F,6,FALSE)* (HLOOKUP($J$3,PARTNERPROGRAM!$D$7:$H$8,2,FALSE)),VLOOKUP('Perpetual Pricing'!$J$1,XE!$A:$H,8,FALSE)),VLOOKUP('Perpetual Pricing'!$J$1,XE!$A:$G,7,FALSE))</f>
        <v>358,7400</v>
      </c>
      <c r="G287" s="42" t="str">
        <f>CONCATENATE(LEFT(BASE!G287,6),VLOOKUP('Perpetual Pricing'!$J$1,XE!$A:$C,3,FALSE),MID(BASE!G287,9,1),IF('Perpetual Pricing'!$J$2="Standard","S","G"),RIGHT(BASE!G287,7))</f>
        <v>IPRO50EUNS012WZRZ</v>
      </c>
      <c r="H287" s="287"/>
      <c r="I287" s="287"/>
      <c r="J287" s="287"/>
      <c r="K287" s="287"/>
    </row>
    <row r="288" spans="1:11">
      <c r="A288" s="286" t="s">
        <v>195</v>
      </c>
      <c r="B288" s="286"/>
      <c r="C288" s="286"/>
      <c r="D288" s="85" t="str">
        <f>TEXT(ROUND(VLOOKUP('Perpetual Pricing'!$J$2,XE!$M$5:$N$6,2,FALSE)*BASE!D288*VLOOKUP('Perpetual Pricing'!$J$1,XE!$A:$F,6,FALSE)* (HLOOKUP($J$3,PARTNERPROGRAM!$D$7:$H$8,2,FALSE)),VLOOKUP('Perpetual Pricing'!$J$1,XE!$A:$H,8,FALSE)),VLOOKUP('Perpetual Pricing'!$J$1,XE!$A:$G,7,FALSE))</f>
        <v>15,9800</v>
      </c>
      <c r="E288" s="42" t="str">
        <f>CONCATENATE(LEFT(BASE!E288,6),VLOOKUP('Perpetual Pricing'!$J$1,XE!$A:$C,3,FALSE),MID(BASE!E288,9,1),IF('Perpetual Pricing'!$J$2="Standard","S","G"),RIGHT(BASE!E288,7))</f>
        <v>IUSP50EUXS0100ZZZ</v>
      </c>
      <c r="F288" s="287" t="s">
        <v>40</v>
      </c>
      <c r="G288" s="287"/>
      <c r="H288" s="287"/>
      <c r="I288" s="287"/>
      <c r="J288" s="287"/>
      <c r="K288" s="287"/>
    </row>
    <row r="289" spans="1:11">
      <c r="A289" s="73" t="s">
        <v>213</v>
      </c>
      <c r="B289" s="74"/>
      <c r="C289" s="74"/>
      <c r="D289" s="74"/>
      <c r="E289" s="74"/>
      <c r="F289" s="74"/>
      <c r="G289" s="74"/>
      <c r="H289" s="74"/>
      <c r="I289" s="74"/>
      <c r="J289" s="74"/>
      <c r="K289" s="74"/>
    </row>
    <row r="290" spans="1:11">
      <c r="A290" s="73" t="s">
        <v>214</v>
      </c>
      <c r="B290" s="74"/>
      <c r="C290" s="74"/>
      <c r="D290" s="74"/>
      <c r="E290" s="74"/>
      <c r="F290" s="74"/>
      <c r="G290" s="74"/>
      <c r="H290" s="74"/>
      <c r="I290" s="74"/>
      <c r="J290" s="74"/>
      <c r="K290" s="74"/>
    </row>
    <row r="291" spans="1:11">
      <c r="A291" s="73" t="s">
        <v>215</v>
      </c>
      <c r="B291" s="74"/>
      <c r="C291" s="74"/>
      <c r="D291" s="74"/>
      <c r="E291" s="74"/>
      <c r="F291" s="74"/>
      <c r="G291" s="74"/>
      <c r="H291" s="74"/>
      <c r="I291" s="74"/>
      <c r="J291" s="74"/>
      <c r="K291" s="74"/>
    </row>
    <row r="292" spans="1:11">
      <c r="A292" s="14"/>
      <c r="B292" s="10"/>
      <c r="C292" s="10"/>
      <c r="D292" s="10"/>
      <c r="E292" s="10"/>
      <c r="F292" s="10"/>
      <c r="G292" s="10"/>
      <c r="H292" s="10"/>
      <c r="I292" s="10"/>
      <c r="J292" s="10"/>
      <c r="K292" s="10"/>
    </row>
    <row r="293" spans="1:11" ht="20.25">
      <c r="A293" s="215" t="s">
        <v>515</v>
      </c>
      <c r="B293" s="34"/>
      <c r="C293" s="34"/>
      <c r="D293" s="34"/>
      <c r="E293" s="9"/>
      <c r="F293" s="1"/>
      <c r="G293" s="9"/>
      <c r="H293" s="1"/>
      <c r="I293" s="9"/>
      <c r="J293" s="1"/>
      <c r="K293" s="13"/>
    </row>
    <row r="294" spans="1:11" ht="15.75" customHeight="1">
      <c r="A294" s="253" t="s">
        <v>2</v>
      </c>
      <c r="B294" s="253"/>
      <c r="C294" s="254"/>
      <c r="D294" s="259" t="str">
        <f>CONCATENATE(IF('Perpetual Pricing'!$J$2="Standard",HLOOKUP($U$1,Phrasing!A:A,48,FALSE),IF('Perpetual Pricing'!$J$2="Gov/Edu/NonProfit",HLOOKUP($U$1,Phrasing!A:A,49,FALSE),"???"))," - ",$J$3,, " - ",VLOOKUP($J$3,PARTNERPROGRAM!$U$5:$V$9,2,FALSE))</f>
        <v>Standard Pricing - Non Partner - SRP</v>
      </c>
      <c r="E294" s="259"/>
      <c r="F294" s="259"/>
      <c r="G294" s="259"/>
      <c r="H294" s="260"/>
      <c r="I294" s="260"/>
      <c r="J294" s="259"/>
      <c r="K294" s="259"/>
    </row>
    <row r="295" spans="1:11" ht="12.75" customHeight="1">
      <c r="A295" s="253"/>
      <c r="B295" s="253"/>
      <c r="C295" s="254"/>
      <c r="D295" s="235" t="str">
        <f>HLOOKUP($U$1,Phrasing!A:A,40,FALSE)</f>
        <v>New</v>
      </c>
      <c r="E295" s="236"/>
      <c r="F295" s="237" t="str">
        <f>HLOOKUP($U$1,Phrasing!A:A,158,FALSE)</f>
        <v>Upgrade</v>
      </c>
      <c r="G295" s="238"/>
      <c r="H295" s="230" t="str">
        <f>HLOOKUP($U$1,Phrasing!A:A,170,FALSE)</f>
        <v>1Yr Maintenance</v>
      </c>
      <c r="I295" s="231"/>
      <c r="J295" s="239" t="str">
        <f>HLOOKUP($U$1,Phrasing!A:A,45,FALSE)</f>
        <v>Premium Support</v>
      </c>
      <c r="K295" s="240"/>
    </row>
    <row r="296" spans="1:11">
      <c r="A296" s="253"/>
      <c r="B296" s="253"/>
      <c r="C296" s="254"/>
      <c r="D296" s="243" t="str">
        <f>HLOOKUP($U$1,Phrasing!A:A,23,FALSE)</f>
        <v>Includes one year of Maintenance</v>
      </c>
      <c r="E296" s="244"/>
      <c r="F296" s="245" t="str">
        <f>HLOOKUP($U$1,Phrasing!A:A,23,FALSE)</f>
        <v>Includes one year of Maintenance</v>
      </c>
      <c r="G296" s="246"/>
      <c r="H296" s="228" t="str">
        <f>HLOOKUP($U$1,Phrasing!A:A,171,FALSE)</f>
        <v>Renewal</v>
      </c>
      <c r="I296" s="229"/>
      <c r="J296" s="241"/>
      <c r="K296" s="242"/>
    </row>
    <row r="297" spans="1:11">
      <c r="A297" s="255"/>
      <c r="B297" s="255"/>
      <c r="C297" s="256"/>
      <c r="D297" s="100" t="str">
        <f>CONCATENATE(HLOOKUP($U$1,Phrasing!A:A,46,FALSE),": ",VLOOKUP('Perpetual Pricing'!$J$1,XE!$A:$B,2,FALSE))</f>
        <v>Price: EUR</v>
      </c>
      <c r="E297" s="75" t="str">
        <f>HLOOKUP($U$1,Phrasing!A:A,43,FALSE)</f>
        <v>Part Number</v>
      </c>
      <c r="F297" s="100" t="str">
        <f>CONCATENATE(HLOOKUP($U$1,Phrasing!A:A,46,FALSE),": ",VLOOKUP('Perpetual Pricing'!$J$1,XE!$A:$B,2,FALSE))</f>
        <v>Price: EUR</v>
      </c>
      <c r="G297" s="75" t="str">
        <f>HLOOKUP($U$1,Phrasing!A:A,43,FALSE)</f>
        <v>Part Number</v>
      </c>
      <c r="H297" s="100" t="str">
        <f>CONCATENATE(HLOOKUP($U$1,Phrasing!A:A,46,FALSE),": ",VLOOKUP('Perpetual Pricing'!$J$1,XE!$A:$B,2,FALSE))</f>
        <v>Price: EUR</v>
      </c>
      <c r="I297" s="72" t="str">
        <f>HLOOKUP($U$1,Phrasing!A:A,43,FALSE)</f>
        <v>Part Number</v>
      </c>
      <c r="J297" s="100" t="str">
        <f>CONCATENATE(HLOOKUP($U$1,Phrasing!A:A,46,FALSE),": ",VLOOKUP('Perpetual Pricing'!$J$1,XE!$A:$B,2,FALSE))</f>
        <v>Price: EUR</v>
      </c>
      <c r="K297" s="72" t="str">
        <f>HLOOKUP($U$1,Phrasing!A:A,43,FALSE)</f>
        <v>Part Number</v>
      </c>
    </row>
    <row r="298" spans="1:11">
      <c r="A298" s="277" t="s">
        <v>229</v>
      </c>
      <c r="B298" s="277"/>
      <c r="C298" s="277"/>
      <c r="D298" s="85" t="str">
        <f>TEXT(ROUND(VLOOKUP('Perpetual Pricing'!$J$2,XE!$M$5:$N$6,2,FALSE)*BASE!D298*VLOOKUP('Perpetual Pricing'!$J$1,XE!$A:$F,6,FALSE)* (HLOOKUP($J$3,PARTNERPROGRAM!$D$7:$H$8,2,FALSE)),VLOOKUP('Perpetual Pricing'!$J$1,XE!$A:$H,8,FALSE)),VLOOKUP('Perpetual Pricing'!$J$1,XE!$A:$G,7,FALSE))</f>
        <v>204,8300</v>
      </c>
      <c r="E298" s="42" t="str">
        <f>CONCATENATE(LEFT(BASE!E298,6),VLOOKUP('Perpetual Pricing'!$J$1,XE!$A:$C,3,FALSE),MID(BASE!E298,9,1),IF('Perpetual Pricing'!$J$2="Standard","S","G"),RIGHT(BASE!E298,7))</f>
        <v>DSDV50EUPS0600ZZZ</v>
      </c>
      <c r="F298" s="85" t="str">
        <f>TEXT(ROUND(VLOOKUP('Perpetual Pricing'!$J$2,XE!$M$5:$N$6,2,FALSE)*BASE!F298*VLOOKUP('Perpetual Pricing'!$J$1,XE!$A:$F,6,FALSE)* (HLOOKUP($J$3,PARTNERPROGRAM!$D$7:$H$8,2,FALSE)),VLOOKUP('Perpetual Pricing'!$J$1,XE!$A:$H,8,FALSE)),VLOOKUP('Perpetual Pricing'!$J$1,XE!$A:$G,7,FALSE))</f>
        <v>102,4100</v>
      </c>
      <c r="G298" s="42" t="str">
        <f>CONCATENATE(LEFT(BASE!G298,6),VLOOKUP('Perpetual Pricing'!$J$1,XE!$A:$C,3,FALSE),MID(BASE!G298,9,1),IF('Perpetual Pricing'!$J$2="Standard","S","G"),RIGHT(BASE!G298,7))</f>
        <v>DSDV50EUUS0600ZZZ</v>
      </c>
      <c r="H298" s="85" t="str">
        <f>TEXT(ROUND(VLOOKUP('Perpetual Pricing'!$J$2,XE!$M$5:$N$6,2,FALSE)*BASE!H298*VLOOKUP('Perpetual Pricing'!$J$1,XE!$A:$F,6,FALSE)* (HLOOKUP($J$3,PARTNERPROGRAM!$D$7:$H$8,2,FALSE)),VLOOKUP('Perpetual Pricing'!$J$1,XE!$A:$H,8,FALSE)),VLOOKUP('Perpetual Pricing'!$J$1,XE!$A:$G,7,FALSE))</f>
        <v>40,9600</v>
      </c>
      <c r="I298" s="42" t="str">
        <f>CONCATENATE(LEFT(BASE!I298,6),VLOOKUP('Perpetual Pricing'!$J$1,XE!$A:$C,3,FALSE),MID(BASE!I298,9,1),IF('Perpetual Pricing'!$J$2="Standard","S","G"),RIGHT(BASE!I298,7))</f>
        <v>DSDV50EUMS061YZZZ</v>
      </c>
      <c r="J298" s="77" t="s">
        <v>40</v>
      </c>
      <c r="K298" s="76" t="s">
        <v>40</v>
      </c>
    </row>
    <row r="299" spans="1:11">
      <c r="A299" s="277" t="s">
        <v>233</v>
      </c>
      <c r="B299" s="277"/>
      <c r="C299" s="277"/>
      <c r="D299" s="85" t="str">
        <f>TEXT(ROUND(VLOOKUP('Perpetual Pricing'!$J$2,XE!$M$5:$N$6,2,FALSE)*BASE!D299*VLOOKUP('Perpetual Pricing'!$J$1,XE!$A:$F,6,FALSE)* (HLOOKUP($J$3,PARTNERPROGRAM!$D$7:$H$8,2,FALSE)),VLOOKUP('Perpetual Pricing'!$J$1,XE!$A:$H,8,FALSE)),VLOOKUP('Perpetual Pricing'!$J$1,XE!$A:$G,7,FALSE))</f>
        <v>389,6400</v>
      </c>
      <c r="E299" s="42" t="str">
        <f>CONCATENATE(LEFT(BASE!E299,6),VLOOKUP('Perpetual Pricing'!$J$1,XE!$A:$C,3,FALSE),MID(BASE!E299,9,1),IF('Perpetual Pricing'!$J$2="Standard","S","G"),RIGHT(BASE!E299,7))</f>
        <v>DSDV50EUPS1200ZZZ</v>
      </c>
      <c r="F299" s="85" t="str">
        <f>TEXT(ROUND(VLOOKUP('Perpetual Pricing'!$J$2,XE!$M$5:$N$6,2,FALSE)*BASE!F299*VLOOKUP('Perpetual Pricing'!$J$1,XE!$A:$F,6,FALSE)* (HLOOKUP($J$3,PARTNERPROGRAM!$D$7:$H$8,2,FALSE)),VLOOKUP('Perpetual Pricing'!$J$1,XE!$A:$H,8,FALSE)),VLOOKUP('Perpetual Pricing'!$J$1,XE!$A:$G,7,FALSE))</f>
        <v>194,8200</v>
      </c>
      <c r="G299" s="42" t="str">
        <f>CONCATENATE(LEFT(BASE!G299,6),VLOOKUP('Perpetual Pricing'!$J$1,XE!$A:$C,3,FALSE),MID(BASE!G299,9,1),IF('Perpetual Pricing'!$J$2="Standard","S","G"),RIGHT(BASE!G299,7))</f>
        <v>DSDV50EUUS1200ZZZ</v>
      </c>
      <c r="H299" s="85" t="str">
        <f>TEXT(ROUND(VLOOKUP('Perpetual Pricing'!$J$2,XE!$M$5:$N$6,2,FALSE)*BASE!H299*VLOOKUP('Perpetual Pricing'!$J$1,XE!$A:$F,6,FALSE)* (HLOOKUP($J$3,PARTNERPROGRAM!$D$7:$H$8,2,FALSE)),VLOOKUP('Perpetual Pricing'!$J$1,XE!$A:$H,8,FALSE)),VLOOKUP('Perpetual Pricing'!$J$1,XE!$A:$G,7,FALSE))</f>
        <v>77,9200</v>
      </c>
      <c r="I299" s="42" t="str">
        <f>CONCATENATE(LEFT(BASE!I299,6),VLOOKUP('Perpetual Pricing'!$J$1,XE!$A:$C,3,FALSE),MID(BASE!I299,9,1),IF('Perpetual Pricing'!$J$2="Standard","S","G"),RIGHT(BASE!I299,7))</f>
        <v>DSDV50EUMS121YZZZ</v>
      </c>
      <c r="J299" s="85" t="str">
        <f>TEXT(ROUND(VLOOKUP('Perpetual Pricing'!$J$2,XE!$M$5:$N$6,2,FALSE)*BASE!J299*VLOOKUP('Perpetual Pricing'!$J$1,XE!$A:$F,6,FALSE)* (HLOOKUP($J$3,PARTNERPROGRAM!$D$7:$H$8,2,FALSE)),VLOOKUP('Perpetual Pricing'!$J$1,XE!$A:$H,8,FALSE)),VLOOKUP('Perpetual Pricing'!$J$1,XE!$A:$G,7,FALSE))</f>
        <v>58,4500</v>
      </c>
      <c r="K299" s="42" t="str">
        <f>CONCATENATE(LEFT(BASE!K299,6),VLOOKUP('Perpetual Pricing'!$J$1,XE!$A:$C,3,FALSE),MID(BASE!K299,9,1),IF('Perpetual Pricing'!$J$2="Standard","S","G"),RIGHT(BASE!K299,7))</f>
        <v>DSDV50EUSS121YZZZ</v>
      </c>
    </row>
    <row r="300" spans="1:11">
      <c r="A300" s="277" t="s">
        <v>238</v>
      </c>
      <c r="B300" s="277"/>
      <c r="C300" s="277"/>
      <c r="D300" s="85" t="str">
        <f>TEXT(ROUND(VLOOKUP('Perpetual Pricing'!$J$2,XE!$M$5:$N$6,2,FALSE)*BASE!D300*VLOOKUP('Perpetual Pricing'!$J$1,XE!$A:$F,6,FALSE)* (HLOOKUP($J$3,PARTNERPROGRAM!$D$7:$H$8,2,FALSE)),VLOOKUP('Perpetual Pricing'!$J$1,XE!$A:$H,8,FALSE)),VLOOKUP('Perpetual Pricing'!$J$1,XE!$A:$G,7,FALSE))</f>
        <v>744,4400</v>
      </c>
      <c r="E300" s="42" t="str">
        <f>CONCATENATE(LEFT(BASE!E300,6),VLOOKUP('Perpetual Pricing'!$J$1,XE!$A:$C,3,FALSE),MID(BASE!E300,9,1),IF('Perpetual Pricing'!$J$2="Standard","S","G"),RIGHT(BASE!E300,7))</f>
        <v>DSDV50EUPS2400ZZZ</v>
      </c>
      <c r="F300" s="85" t="str">
        <f>TEXT(ROUND(VLOOKUP('Perpetual Pricing'!$J$2,XE!$M$5:$N$6,2,FALSE)*BASE!F300*VLOOKUP('Perpetual Pricing'!$J$1,XE!$A:$F,6,FALSE)* (HLOOKUP($J$3,PARTNERPROGRAM!$D$7:$H$8,2,FALSE)),VLOOKUP('Perpetual Pricing'!$J$1,XE!$A:$H,8,FALSE)),VLOOKUP('Perpetual Pricing'!$J$1,XE!$A:$G,7,FALSE))</f>
        <v>372,2200</v>
      </c>
      <c r="G300" s="42" t="str">
        <f>CONCATENATE(LEFT(BASE!G300,6),VLOOKUP('Perpetual Pricing'!$J$1,XE!$A:$C,3,FALSE),MID(BASE!G300,9,1),IF('Perpetual Pricing'!$J$2="Standard","S","G"),RIGHT(BASE!G300,7))</f>
        <v>DSDV50EUUS2400ZZZ</v>
      </c>
      <c r="H300" s="85" t="str">
        <f>TEXT(ROUND(VLOOKUP('Perpetual Pricing'!$J$2,XE!$M$5:$N$6,2,FALSE)*BASE!H300*VLOOKUP('Perpetual Pricing'!$J$1,XE!$A:$F,6,FALSE)* (HLOOKUP($J$3,PARTNERPROGRAM!$D$7:$H$8,2,FALSE)),VLOOKUP('Perpetual Pricing'!$J$1,XE!$A:$H,8,FALSE)),VLOOKUP('Perpetual Pricing'!$J$1,XE!$A:$G,7,FALSE))</f>
        <v>148,8900</v>
      </c>
      <c r="I300" s="42" t="str">
        <f>CONCATENATE(LEFT(BASE!I300,6),VLOOKUP('Perpetual Pricing'!$J$1,XE!$A:$C,3,FALSE),MID(BASE!I300,9,1),IF('Perpetual Pricing'!$J$2="Standard","S","G"),RIGHT(BASE!I300,7))</f>
        <v>DSDV50EUMS241YZZZ</v>
      </c>
      <c r="J300" s="85" t="str">
        <f>TEXT(ROUND(VLOOKUP('Perpetual Pricing'!$J$2,XE!$M$5:$N$6,2,FALSE)*BASE!J300*VLOOKUP('Perpetual Pricing'!$J$1,XE!$A:$F,6,FALSE)* (HLOOKUP($J$3,PARTNERPROGRAM!$D$7:$H$8,2,FALSE)),VLOOKUP('Perpetual Pricing'!$J$1,XE!$A:$H,8,FALSE)),VLOOKUP('Perpetual Pricing'!$J$1,XE!$A:$G,7,FALSE))</f>
        <v>111,6700</v>
      </c>
      <c r="K300" s="42" t="str">
        <f>CONCATENATE(LEFT(BASE!K300,6),VLOOKUP('Perpetual Pricing'!$J$1,XE!$A:$C,3,FALSE),MID(BASE!K300,9,1),IF('Perpetual Pricing'!$J$2="Standard","S","G"),RIGHT(BASE!K300,7))</f>
        <v>DSDV50EUSS241YZZZ</v>
      </c>
    </row>
    <row r="301" spans="1:11">
      <c r="A301" s="277" t="s">
        <v>243</v>
      </c>
      <c r="B301" s="277"/>
      <c r="C301" s="277"/>
      <c r="D301" s="85" t="str">
        <f>TEXT(ROUND(VLOOKUP('Perpetual Pricing'!$J$2,XE!$M$5:$N$6,2,FALSE)*BASE!D301*VLOOKUP('Perpetual Pricing'!$J$1,XE!$A:$F,6,FALSE)* (HLOOKUP($J$3,PARTNERPROGRAM!$D$7:$H$8,2,FALSE)),VLOOKUP('Perpetual Pricing'!$J$1,XE!$A:$H,8,FALSE)),VLOOKUP('Perpetual Pricing'!$J$1,XE!$A:$G,7,FALSE))</f>
        <v>1378,0700</v>
      </c>
      <c r="E301" s="42" t="str">
        <f>CONCATENATE(LEFT(BASE!E301,6),VLOOKUP('Perpetual Pricing'!$J$1,XE!$A:$C,3,FALSE),MID(BASE!E301,9,1),IF('Perpetual Pricing'!$J$2="Standard","S","G"),RIGHT(BASE!E301,7))</f>
        <v>DSDV50EUPS5000ZZZ</v>
      </c>
      <c r="F301" s="85" t="str">
        <f>TEXT(ROUND(VLOOKUP('Perpetual Pricing'!$J$2,XE!$M$5:$N$6,2,FALSE)*BASE!F301*VLOOKUP('Perpetual Pricing'!$J$1,XE!$A:$F,6,FALSE)* (HLOOKUP($J$3,PARTNERPROGRAM!$D$7:$H$8,2,FALSE)),VLOOKUP('Perpetual Pricing'!$J$1,XE!$A:$H,8,FALSE)),VLOOKUP('Perpetual Pricing'!$J$1,XE!$A:$G,7,FALSE))</f>
        <v>689,0400</v>
      </c>
      <c r="G301" s="42" t="str">
        <f>CONCATENATE(LEFT(BASE!G301,6),VLOOKUP('Perpetual Pricing'!$J$1,XE!$A:$C,3,FALSE),MID(BASE!G301,9,1),IF('Perpetual Pricing'!$J$2="Standard","S","G"),RIGHT(BASE!G301,7))</f>
        <v>DSDV50EUUS5000ZZZ</v>
      </c>
      <c r="H301" s="85" t="str">
        <f>TEXT(ROUND(VLOOKUP('Perpetual Pricing'!$J$2,XE!$M$5:$N$6,2,FALSE)*BASE!H301*VLOOKUP('Perpetual Pricing'!$J$1,XE!$A:$F,6,FALSE)* (HLOOKUP($J$3,PARTNERPROGRAM!$D$7:$H$8,2,FALSE)),VLOOKUP('Perpetual Pricing'!$J$1,XE!$A:$H,8,FALSE)),VLOOKUP('Perpetual Pricing'!$J$1,XE!$A:$G,7,FALSE))</f>
        <v>275,6200</v>
      </c>
      <c r="I301" s="42" t="str">
        <f>CONCATENATE(LEFT(BASE!I301,6),VLOOKUP('Perpetual Pricing'!$J$1,XE!$A:$C,3,FALSE),MID(BASE!I301,9,1),IF('Perpetual Pricing'!$J$2="Standard","S","G"),RIGHT(BASE!I301,7))</f>
        <v>DSDV50EUMS501YZZZ</v>
      </c>
      <c r="J301" s="85" t="str">
        <f>TEXT(ROUND(VLOOKUP('Perpetual Pricing'!$J$2,XE!$M$5:$N$6,2,FALSE)*BASE!J301*VLOOKUP('Perpetual Pricing'!$J$1,XE!$A:$F,6,FALSE)* (HLOOKUP($J$3,PARTNERPROGRAM!$D$7:$H$8,2,FALSE)),VLOOKUP('Perpetual Pricing'!$J$1,XE!$A:$H,8,FALSE)),VLOOKUP('Perpetual Pricing'!$J$1,XE!$A:$G,7,FALSE))</f>
        <v>206,7100</v>
      </c>
      <c r="K301" s="42" t="str">
        <f>CONCATENATE(LEFT(BASE!K301,6),VLOOKUP('Perpetual Pricing'!$J$1,XE!$A:$C,3,FALSE),MID(BASE!K301,9,1),IF('Perpetual Pricing'!$J$2="Standard","S","G"),RIGHT(BASE!K301,7))</f>
        <v>DSDV50EUSS501YZZZ</v>
      </c>
    </row>
    <row r="302" spans="1:11">
      <c r="A302" s="277" t="s">
        <v>248</v>
      </c>
      <c r="B302" s="277"/>
      <c r="C302" s="277"/>
      <c r="D302" s="85" t="str">
        <f>TEXT(ROUND(VLOOKUP('Perpetual Pricing'!$J$2,XE!$M$5:$N$6,2,FALSE)*BASE!D302*VLOOKUP('Perpetual Pricing'!$J$1,XE!$A:$F,6,FALSE)* (HLOOKUP($J$3,PARTNERPROGRAM!$D$7:$H$8,2,FALSE)),VLOOKUP('Perpetual Pricing'!$J$1,XE!$A:$H,8,FALSE)),VLOOKUP('Perpetual Pricing'!$J$1,XE!$A:$G,7,FALSE))</f>
        <v>315,600</v>
      </c>
      <c r="E302" s="42" t="str">
        <f>CONCATENATE(LEFT(BASE!E302,6),VLOOKUP('Perpetual Pricing'!$J$1,XE!$A:$C,3,FALSE),MID(BASE!E302,9,1),IF('Perpetual Pricing'!$J$2="Standard","S","G"),RIGHT(BASE!E302,7))</f>
        <v>SSSV50EUPS0100ZZZ</v>
      </c>
      <c r="F302" s="85" t="str">
        <f>TEXT(ROUND(VLOOKUP('Perpetual Pricing'!$J$2,XE!$M$5:$N$6,2,FALSE)*BASE!F302*VLOOKUP('Perpetual Pricing'!$J$1,XE!$A:$F,6,FALSE)* (HLOOKUP($J$3,PARTNERPROGRAM!$D$7:$H$8,2,FALSE)),VLOOKUP('Perpetual Pricing'!$J$1,XE!$A:$H,8,FALSE)),VLOOKUP('Perpetual Pricing'!$J$1,XE!$A:$G,7,FALSE))</f>
        <v>157,800</v>
      </c>
      <c r="G302" s="42" t="str">
        <f>CONCATENATE(LEFT(BASE!G302,6),VLOOKUP('Perpetual Pricing'!$J$1,XE!$A:$C,3,FALSE),MID(BASE!G302,9,1),IF('Perpetual Pricing'!$J$2="Standard","S","G"),RIGHT(BASE!G302,7))</f>
        <v>SSSV50EUUS0100ZZZ</v>
      </c>
      <c r="H302" s="85" t="str">
        <f>TEXT(ROUND(VLOOKUP('Perpetual Pricing'!$J$2,XE!$M$5:$N$6,2,FALSE)*BASE!H302*VLOOKUP('Perpetual Pricing'!$J$1,XE!$A:$F,6,FALSE)* (HLOOKUP($J$3,PARTNERPROGRAM!$D$7:$H$8,2,FALSE)),VLOOKUP('Perpetual Pricing'!$J$1,XE!$A:$H,8,FALSE)),VLOOKUP('Perpetual Pricing'!$J$1,XE!$A:$G,7,FALSE))</f>
        <v>63,1200</v>
      </c>
      <c r="I302" s="42" t="str">
        <f>CONCATENATE(LEFT(BASE!I302,6),VLOOKUP('Perpetual Pricing'!$J$1,XE!$A:$C,3,FALSE),MID(BASE!I302,9,1),IF('Perpetual Pricing'!$J$2="Standard","S","G"),RIGHT(BASE!I302,7))</f>
        <v>SSSV50EUMS011YZZZ</v>
      </c>
      <c r="J302" s="85" t="str">
        <f>TEXT(ROUND(VLOOKUP('Perpetual Pricing'!$J$2,XE!$M$5:$N$6,2,FALSE)*BASE!J302*VLOOKUP('Perpetual Pricing'!$J$1,XE!$A:$F,6,FALSE)* (HLOOKUP($J$3,PARTNERPROGRAM!$D$7:$H$8,2,FALSE)),VLOOKUP('Perpetual Pricing'!$J$1,XE!$A:$H,8,FALSE)),VLOOKUP('Perpetual Pricing'!$J$1,XE!$A:$G,7,FALSE))</f>
        <v>47,3400</v>
      </c>
      <c r="K302" s="42" t="str">
        <f>CONCATENATE(LEFT(BASE!K302,6),VLOOKUP('Perpetual Pricing'!$J$1,XE!$A:$C,3,FALSE),MID(BASE!K302,9,1),IF('Perpetual Pricing'!$J$2="Standard","S","G"),RIGHT(BASE!K302,7))</f>
        <v>SSSV50EUSS011YZZZ</v>
      </c>
    </row>
    <row r="303" spans="1:11">
      <c r="A303" s="277" t="s">
        <v>253</v>
      </c>
      <c r="B303" s="277"/>
      <c r="C303" s="277"/>
      <c r="D303" s="85" t="str">
        <f>TEXT(ROUND(VLOOKUP('Perpetual Pricing'!$J$2,XE!$M$5:$N$6,2,FALSE)*BASE!D303*VLOOKUP('Perpetual Pricing'!$J$1,XE!$A:$F,6,FALSE)* (HLOOKUP($J$3,PARTNERPROGRAM!$D$7:$H$8,2,FALSE)),VLOOKUP('Perpetual Pricing'!$J$1,XE!$A:$H,8,FALSE)),VLOOKUP('Perpetual Pricing'!$J$1,XE!$A:$G,7,FALSE))</f>
        <v>794,9800</v>
      </c>
      <c r="E303" s="42" t="str">
        <f>CONCATENATE(LEFT(BASE!E303,6),VLOOKUP('Perpetual Pricing'!$J$1,XE!$A:$C,3,FALSE),MID(BASE!E303,9,1),IF('Perpetual Pricing'!$J$2="Standard","S","G"),RIGHT(BASE!E303,7))</f>
        <v>SSSV50EUPS0300ZZZ</v>
      </c>
      <c r="F303" s="85" t="str">
        <f>TEXT(ROUND(VLOOKUP('Perpetual Pricing'!$J$2,XE!$M$5:$N$6,2,FALSE)*BASE!F303*VLOOKUP('Perpetual Pricing'!$J$1,XE!$A:$F,6,FALSE)* (HLOOKUP($J$3,PARTNERPROGRAM!$D$7:$H$8,2,FALSE)),VLOOKUP('Perpetual Pricing'!$J$1,XE!$A:$H,8,FALSE)),VLOOKUP('Perpetual Pricing'!$J$1,XE!$A:$G,7,FALSE))</f>
        <v>397,4900</v>
      </c>
      <c r="G303" s="42" t="str">
        <f>CONCATENATE(LEFT(BASE!G303,6),VLOOKUP('Perpetual Pricing'!$J$1,XE!$A:$C,3,FALSE),MID(BASE!G303,9,1),IF('Perpetual Pricing'!$J$2="Standard","S","G"),RIGHT(BASE!G303,7))</f>
        <v>SSSV50EUUS0300ZZZ</v>
      </c>
      <c r="H303" s="85" t="str">
        <f>TEXT(ROUND(VLOOKUP('Perpetual Pricing'!$J$2,XE!$M$5:$N$6,2,FALSE)*BASE!H303*VLOOKUP('Perpetual Pricing'!$J$1,XE!$A:$F,6,FALSE)* (HLOOKUP($J$3,PARTNERPROGRAM!$D$7:$H$8,2,FALSE)),VLOOKUP('Perpetual Pricing'!$J$1,XE!$A:$H,8,FALSE)),VLOOKUP('Perpetual Pricing'!$J$1,XE!$A:$G,7,FALSE))</f>
        <v>159,00</v>
      </c>
      <c r="I303" s="42" t="str">
        <f>CONCATENATE(LEFT(BASE!I303,6),VLOOKUP('Perpetual Pricing'!$J$1,XE!$A:$C,3,FALSE),MID(BASE!I303,9,1),IF('Perpetual Pricing'!$J$2="Standard","S","G"),RIGHT(BASE!I303,7))</f>
        <v>SSSV50EUMS031YZZZ</v>
      </c>
      <c r="J303" s="85" t="str">
        <f>TEXT(ROUND(VLOOKUP('Perpetual Pricing'!$J$2,XE!$M$5:$N$6,2,FALSE)*BASE!J303*VLOOKUP('Perpetual Pricing'!$J$1,XE!$A:$F,6,FALSE)* (HLOOKUP($J$3,PARTNERPROGRAM!$D$7:$H$8,2,FALSE)),VLOOKUP('Perpetual Pricing'!$J$1,XE!$A:$H,8,FALSE)),VLOOKUP('Perpetual Pricing'!$J$1,XE!$A:$G,7,FALSE))</f>
        <v>119,2500</v>
      </c>
      <c r="K303" s="42" t="str">
        <f>CONCATENATE(LEFT(BASE!K303,6),VLOOKUP('Perpetual Pricing'!$J$1,XE!$A:$C,3,FALSE),MID(BASE!K303,9,1),IF('Perpetual Pricing'!$J$2="Standard","S","G"),RIGHT(BASE!K303,7))</f>
        <v>SSSV50EUSS031YZZZ</v>
      </c>
    </row>
    <row r="304" spans="1:11">
      <c r="A304" s="277" t="s">
        <v>258</v>
      </c>
      <c r="B304" s="277"/>
      <c r="C304" s="277"/>
      <c r="D304" s="85" t="str">
        <f>TEXT(ROUND(VLOOKUP('Perpetual Pricing'!$J$2,XE!$M$5:$N$6,2,FALSE)*BASE!D304*VLOOKUP('Perpetual Pricing'!$J$1,XE!$A:$F,6,FALSE)* (HLOOKUP($J$3,PARTNERPROGRAM!$D$7:$H$8,2,FALSE)),VLOOKUP('Perpetual Pricing'!$J$1,XE!$A:$H,8,FALSE)),VLOOKUP('Perpetual Pricing'!$J$1,XE!$A:$G,7,FALSE))</f>
        <v>1034,6800</v>
      </c>
      <c r="E304" s="42" t="str">
        <f>CONCATENATE(LEFT(BASE!E304,6),VLOOKUP('Perpetual Pricing'!$J$1,XE!$A:$C,3,FALSE),MID(BASE!E304,9,1),IF('Perpetual Pricing'!$J$2="Standard","S","G"),RIGHT(BASE!E304,7))</f>
        <v>SSSV50EUPS0600ZZZ</v>
      </c>
      <c r="F304" s="85" t="str">
        <f>TEXT(ROUND(VLOOKUP('Perpetual Pricing'!$J$2,XE!$M$5:$N$6,2,FALSE)*BASE!F304*VLOOKUP('Perpetual Pricing'!$J$1,XE!$A:$F,6,FALSE)* (HLOOKUP($J$3,PARTNERPROGRAM!$D$7:$H$8,2,FALSE)),VLOOKUP('Perpetual Pricing'!$J$1,XE!$A:$H,8,FALSE)),VLOOKUP('Perpetual Pricing'!$J$1,XE!$A:$G,7,FALSE))</f>
        <v>517,3400</v>
      </c>
      <c r="G304" s="42" t="str">
        <f>CONCATENATE(LEFT(BASE!G304,6),VLOOKUP('Perpetual Pricing'!$J$1,XE!$A:$C,3,FALSE),MID(BASE!G304,9,1),IF('Perpetual Pricing'!$J$2="Standard","S","G"),RIGHT(BASE!G304,7))</f>
        <v>SSSV50EUUS0600ZZZ</v>
      </c>
      <c r="H304" s="85" t="str">
        <f>TEXT(ROUND(VLOOKUP('Perpetual Pricing'!$J$2,XE!$M$5:$N$6,2,FALSE)*BASE!H304*VLOOKUP('Perpetual Pricing'!$J$1,XE!$A:$F,6,FALSE)* (HLOOKUP($J$3,PARTNERPROGRAM!$D$7:$H$8,2,FALSE)),VLOOKUP('Perpetual Pricing'!$J$1,XE!$A:$H,8,FALSE)),VLOOKUP('Perpetual Pricing'!$J$1,XE!$A:$G,7,FALSE))</f>
        <v>206,9400</v>
      </c>
      <c r="I304" s="42" t="str">
        <f>CONCATENATE(LEFT(BASE!I304,6),VLOOKUP('Perpetual Pricing'!$J$1,XE!$A:$C,3,FALSE),MID(BASE!I304,9,1),IF('Perpetual Pricing'!$J$2="Standard","S","G"),RIGHT(BASE!I304,7))</f>
        <v>SSSV50EUMS061YZZZ</v>
      </c>
      <c r="J304" s="85" t="str">
        <f>TEXT(ROUND(VLOOKUP('Perpetual Pricing'!$J$2,XE!$M$5:$N$6,2,FALSE)*BASE!J304*VLOOKUP('Perpetual Pricing'!$J$1,XE!$A:$F,6,FALSE)* (HLOOKUP($J$3,PARTNERPROGRAM!$D$7:$H$8,2,FALSE)),VLOOKUP('Perpetual Pricing'!$J$1,XE!$A:$H,8,FALSE)),VLOOKUP('Perpetual Pricing'!$J$1,XE!$A:$G,7,FALSE))</f>
        <v>155,200</v>
      </c>
      <c r="K304" s="42" t="str">
        <f>CONCATENATE(LEFT(BASE!K304,6),VLOOKUP('Perpetual Pricing'!$J$1,XE!$A:$C,3,FALSE),MID(BASE!K304,9,1),IF('Perpetual Pricing'!$J$2="Standard","S","G"),RIGHT(BASE!K304,7))</f>
        <v>SSSV50EUSS061YZZZ</v>
      </c>
    </row>
    <row r="305" spans="1:11">
      <c r="A305" s="277" t="s">
        <v>263</v>
      </c>
      <c r="B305" s="277"/>
      <c r="C305" s="277"/>
      <c r="D305" s="85" t="str">
        <f>TEXT(ROUND(VLOOKUP('Perpetual Pricing'!$J$2,XE!$M$5:$N$6,2,FALSE)*BASE!D305*VLOOKUP('Perpetual Pricing'!$J$1,XE!$A:$F,6,FALSE)* (HLOOKUP($J$3,PARTNERPROGRAM!$D$7:$H$8,2,FALSE)),VLOOKUP('Perpetual Pricing'!$J$1,XE!$A:$H,8,FALSE)),VLOOKUP('Perpetual Pricing'!$J$1,XE!$A:$G,7,FALSE))</f>
        <v>1514,0600</v>
      </c>
      <c r="E305" s="42" t="str">
        <f>CONCATENATE(LEFT(BASE!E305,6),VLOOKUP('Perpetual Pricing'!$J$1,XE!$A:$C,3,FALSE),MID(BASE!E305,9,1),IF('Perpetual Pricing'!$J$2="Standard","S","G"),RIGHT(BASE!E305,7))</f>
        <v>SSSV50EUPS1200ZZZ</v>
      </c>
      <c r="F305" s="85" t="str">
        <f>TEXT(ROUND(VLOOKUP('Perpetual Pricing'!$J$2,XE!$M$5:$N$6,2,FALSE)*BASE!F305*VLOOKUP('Perpetual Pricing'!$J$1,XE!$A:$F,6,FALSE)* (HLOOKUP($J$3,PARTNERPROGRAM!$D$7:$H$8,2,FALSE)),VLOOKUP('Perpetual Pricing'!$J$1,XE!$A:$H,8,FALSE)),VLOOKUP('Perpetual Pricing'!$J$1,XE!$A:$G,7,FALSE))</f>
        <v>757,0300</v>
      </c>
      <c r="G305" s="42" t="str">
        <f>CONCATENATE(LEFT(BASE!G305,6),VLOOKUP('Perpetual Pricing'!$J$1,XE!$A:$C,3,FALSE),MID(BASE!G305,9,1),IF('Perpetual Pricing'!$J$2="Standard","S","G"),RIGHT(BASE!G305,7))</f>
        <v>SSSV50EUUS1200ZZZ</v>
      </c>
      <c r="H305" s="85" t="str">
        <f>TEXT(ROUND(VLOOKUP('Perpetual Pricing'!$J$2,XE!$M$5:$N$6,2,FALSE)*BASE!H305*VLOOKUP('Perpetual Pricing'!$J$1,XE!$A:$F,6,FALSE)* (HLOOKUP($J$3,PARTNERPROGRAM!$D$7:$H$8,2,FALSE)),VLOOKUP('Perpetual Pricing'!$J$1,XE!$A:$H,8,FALSE)),VLOOKUP('Perpetual Pricing'!$J$1,XE!$A:$G,7,FALSE))</f>
        <v>302,8100</v>
      </c>
      <c r="I305" s="42" t="str">
        <f>CONCATENATE(LEFT(BASE!I305,6),VLOOKUP('Perpetual Pricing'!$J$1,XE!$A:$C,3,FALSE),MID(BASE!I305,9,1),IF('Perpetual Pricing'!$J$2="Standard","S","G"),RIGHT(BASE!I305,7))</f>
        <v>SSSV50EUMS121YZZZ</v>
      </c>
      <c r="J305" s="85" t="str">
        <f>TEXT(ROUND(VLOOKUP('Perpetual Pricing'!$J$2,XE!$M$5:$N$6,2,FALSE)*BASE!J305*VLOOKUP('Perpetual Pricing'!$J$1,XE!$A:$F,6,FALSE)* (HLOOKUP($J$3,PARTNERPROGRAM!$D$7:$H$8,2,FALSE)),VLOOKUP('Perpetual Pricing'!$J$1,XE!$A:$H,8,FALSE)),VLOOKUP('Perpetual Pricing'!$J$1,XE!$A:$G,7,FALSE))</f>
        <v>227,1100</v>
      </c>
      <c r="K305" s="42" t="str">
        <f>CONCATENATE(LEFT(BASE!K305,6),VLOOKUP('Perpetual Pricing'!$J$1,XE!$A:$C,3,FALSE),MID(BASE!K305,9,1),IF('Perpetual Pricing'!$J$2="Standard","S","G"),RIGHT(BASE!K305,7))</f>
        <v>SSSV50EUSS121YZZZ</v>
      </c>
    </row>
    <row r="306" spans="1:11">
      <c r="A306" s="277" t="s">
        <v>268</v>
      </c>
      <c r="B306" s="277"/>
      <c r="C306" s="277"/>
      <c r="D306" s="85" t="str">
        <f>TEXT(ROUND(VLOOKUP('Perpetual Pricing'!$J$2,XE!$M$5:$N$6,2,FALSE)*BASE!D306*VLOOKUP('Perpetual Pricing'!$J$1,XE!$A:$F,6,FALSE)* (HLOOKUP($J$3,PARTNERPROGRAM!$D$7:$H$8,2,FALSE)),VLOOKUP('Perpetual Pricing'!$J$1,XE!$A:$H,8,FALSE)),VLOOKUP('Perpetual Pricing'!$J$1,XE!$A:$G,7,FALSE))</f>
        <v>2996,1600</v>
      </c>
      <c r="E306" s="42" t="str">
        <f>CONCATENATE(LEFT(BASE!E306,6),VLOOKUP('Perpetual Pricing'!$J$1,XE!$A:$C,3,FALSE),MID(BASE!E306,9,1),IF('Perpetual Pricing'!$J$2="Standard","S","G"),RIGHT(BASE!E306,7))</f>
        <v>SSSV50EUPS2400ZZZ</v>
      </c>
      <c r="F306" s="85" t="str">
        <f>TEXT(ROUND(VLOOKUP('Perpetual Pricing'!$J$2,XE!$M$5:$N$6,2,FALSE)*BASE!F306*VLOOKUP('Perpetual Pricing'!$J$1,XE!$A:$F,6,FALSE)* (HLOOKUP($J$3,PARTNERPROGRAM!$D$7:$H$8,2,FALSE)),VLOOKUP('Perpetual Pricing'!$J$1,XE!$A:$H,8,FALSE)),VLOOKUP('Perpetual Pricing'!$J$1,XE!$A:$G,7,FALSE))</f>
        <v>1498,0800</v>
      </c>
      <c r="G306" s="42" t="str">
        <f>CONCATENATE(LEFT(BASE!G306,6),VLOOKUP('Perpetual Pricing'!$J$1,XE!$A:$C,3,FALSE),MID(BASE!G306,9,1),IF('Perpetual Pricing'!$J$2="Standard","S","G"),RIGHT(BASE!G306,7))</f>
        <v>SSSV50EUUS2400ZZZ</v>
      </c>
      <c r="H306" s="85" t="str">
        <f>TEXT(ROUND(VLOOKUP('Perpetual Pricing'!$J$2,XE!$M$5:$N$6,2,FALSE)*BASE!H306*VLOOKUP('Perpetual Pricing'!$J$1,XE!$A:$F,6,FALSE)* (HLOOKUP($J$3,PARTNERPROGRAM!$D$7:$H$8,2,FALSE)),VLOOKUP('Perpetual Pricing'!$J$1,XE!$A:$H,8,FALSE)),VLOOKUP('Perpetual Pricing'!$J$1,XE!$A:$G,7,FALSE))</f>
        <v>599,2300</v>
      </c>
      <c r="I306" s="42" t="str">
        <f>CONCATENATE(LEFT(BASE!I306,6),VLOOKUP('Perpetual Pricing'!$J$1,XE!$A:$C,3,FALSE),MID(BASE!I306,9,1),IF('Perpetual Pricing'!$J$2="Standard","S","G"),RIGHT(BASE!I306,7))</f>
        <v>SSSV50EUMS241YZZZ</v>
      </c>
      <c r="J306" s="85" t="str">
        <f>TEXT(ROUND(VLOOKUP('Perpetual Pricing'!$J$2,XE!$M$5:$N$6,2,FALSE)*BASE!J306*VLOOKUP('Perpetual Pricing'!$J$1,XE!$A:$F,6,FALSE)* (HLOOKUP($J$3,PARTNERPROGRAM!$D$7:$H$8,2,FALSE)),VLOOKUP('Perpetual Pricing'!$J$1,XE!$A:$H,8,FALSE)),VLOOKUP('Perpetual Pricing'!$J$1,XE!$A:$G,7,FALSE))</f>
        <v>449,4200</v>
      </c>
      <c r="K306" s="42" t="str">
        <f>CONCATENATE(LEFT(BASE!K306,6),VLOOKUP('Perpetual Pricing'!$J$1,XE!$A:$C,3,FALSE),MID(BASE!K306,9,1),IF('Perpetual Pricing'!$J$2="Standard","S","G"),RIGHT(BASE!K306,7))</f>
        <v>SSSV50EUSS241YZZZ</v>
      </c>
    </row>
    <row r="307" spans="1:11">
      <c r="A307" s="277" t="s">
        <v>273</v>
      </c>
      <c r="B307" s="277"/>
      <c r="C307" s="277"/>
      <c r="D307" s="85" t="str">
        <f>TEXT(ROUND(VLOOKUP('Perpetual Pricing'!$J$2,XE!$M$5:$N$6,2,FALSE)*BASE!D307*VLOOKUP('Perpetual Pricing'!$J$1,XE!$A:$F,6,FALSE)* (HLOOKUP($J$3,PARTNERPROGRAM!$D$7:$H$8,2,FALSE)),VLOOKUP('Perpetual Pricing'!$J$1,XE!$A:$H,8,FALSE)),VLOOKUP('Perpetual Pricing'!$J$1,XE!$A:$G,7,FALSE))</f>
        <v>6192,0700</v>
      </c>
      <c r="E307" s="42" t="str">
        <f>CONCATENATE(LEFT(BASE!E307,6),VLOOKUP('Perpetual Pricing'!$J$1,XE!$A:$C,3,FALSE),MID(BASE!E307,9,1),IF('Perpetual Pricing'!$J$2="Standard","S","G"),RIGHT(BASE!E307,7))</f>
        <v>SSSV50EUPS5000ZZZ</v>
      </c>
      <c r="F307" s="85" t="str">
        <f>TEXT(ROUND(VLOOKUP('Perpetual Pricing'!$J$2,XE!$M$5:$N$6,2,FALSE)*BASE!F307*VLOOKUP('Perpetual Pricing'!$J$1,XE!$A:$F,6,FALSE)* (HLOOKUP($J$3,PARTNERPROGRAM!$D$7:$H$8,2,FALSE)),VLOOKUP('Perpetual Pricing'!$J$1,XE!$A:$H,8,FALSE)),VLOOKUP('Perpetual Pricing'!$J$1,XE!$A:$G,7,FALSE))</f>
        <v>3096,0400</v>
      </c>
      <c r="G307" s="42" t="str">
        <f>CONCATENATE(LEFT(BASE!G307,6),VLOOKUP('Perpetual Pricing'!$J$1,XE!$A:$C,3,FALSE),MID(BASE!G307,9,1),IF('Perpetual Pricing'!$J$2="Standard","S","G"),RIGHT(BASE!G307,7))</f>
        <v>SSSV50EUUS5000ZZZ</v>
      </c>
      <c r="H307" s="85" t="str">
        <f>TEXT(ROUND(VLOOKUP('Perpetual Pricing'!$J$2,XE!$M$5:$N$6,2,FALSE)*BASE!H307*VLOOKUP('Perpetual Pricing'!$J$1,XE!$A:$F,6,FALSE)* (HLOOKUP($J$3,PARTNERPROGRAM!$D$7:$H$8,2,FALSE)),VLOOKUP('Perpetual Pricing'!$J$1,XE!$A:$H,8,FALSE)),VLOOKUP('Perpetual Pricing'!$J$1,XE!$A:$G,7,FALSE))</f>
        <v>1238,4100</v>
      </c>
      <c r="I307" s="42" t="str">
        <f>CONCATENATE(LEFT(BASE!I307,6),VLOOKUP('Perpetual Pricing'!$J$1,XE!$A:$C,3,FALSE),MID(BASE!I307,9,1),IF('Perpetual Pricing'!$J$2="Standard","S","G"),RIGHT(BASE!I307,7))</f>
        <v>SSSV50EUMS501YZZZ</v>
      </c>
      <c r="J307" s="85" t="str">
        <f>TEXT(ROUND(VLOOKUP('Perpetual Pricing'!$J$2,XE!$M$5:$N$6,2,FALSE)*BASE!J307*VLOOKUP('Perpetual Pricing'!$J$1,XE!$A:$F,6,FALSE)* (HLOOKUP($J$3,PARTNERPROGRAM!$D$7:$H$8,2,FALSE)),VLOOKUP('Perpetual Pricing'!$J$1,XE!$A:$H,8,FALSE)),VLOOKUP('Perpetual Pricing'!$J$1,XE!$A:$G,7,FALSE))</f>
        <v>928,8100</v>
      </c>
      <c r="K307" s="42" t="str">
        <f>CONCATENATE(LEFT(BASE!K307,6),VLOOKUP('Perpetual Pricing'!$J$1,XE!$A:$C,3,FALSE),MID(BASE!K307,9,1),IF('Perpetual Pricing'!$J$2="Standard","S","G"),RIGHT(BASE!K307,7))</f>
        <v>SSSV50EUSS501YZZZ</v>
      </c>
    </row>
    <row r="308" spans="1:11">
      <c r="A308" s="44" t="s">
        <v>278</v>
      </c>
      <c r="B308" s="49"/>
      <c r="C308" s="50"/>
      <c r="D308" s="35"/>
      <c r="E308" s="36"/>
      <c r="F308" s="35"/>
      <c r="G308" s="36"/>
      <c r="H308" s="35"/>
      <c r="I308" s="36"/>
      <c r="J308" s="35"/>
      <c r="K308" s="36"/>
    </row>
    <row r="309" spans="1:11">
      <c r="A309" s="258" t="s">
        <v>485</v>
      </c>
      <c r="B309" s="258"/>
      <c r="C309" s="258"/>
      <c r="D309" s="258"/>
      <c r="E309" s="258"/>
      <c r="F309" s="258"/>
      <c r="G309" s="258"/>
      <c r="H309" s="258"/>
      <c r="I309" s="258"/>
      <c r="J309" s="258"/>
      <c r="K309" s="258"/>
    </row>
    <row r="310" spans="1:11">
      <c r="A310" s="27"/>
      <c r="B310" s="27"/>
      <c r="C310" s="27"/>
      <c r="D310" s="1"/>
      <c r="E310" s="9"/>
      <c r="F310" s="1"/>
      <c r="G310" s="9"/>
      <c r="H310" s="1"/>
      <c r="I310" s="9"/>
      <c r="J310" s="1"/>
      <c r="K310" s="9"/>
    </row>
    <row r="311" spans="1:11">
      <c r="A311" s="10"/>
      <c r="B311" s="10"/>
      <c r="C311" s="10"/>
      <c r="D311" s="10"/>
      <c r="E311" s="29"/>
      <c r="F311" s="30"/>
      <c r="G311" s="29"/>
      <c r="H311" s="5"/>
      <c r="I311" s="29"/>
      <c r="J311" s="5"/>
      <c r="K311" s="29"/>
    </row>
    <row r="312" spans="1:11" ht="20.25">
      <c r="A312" s="215" t="s">
        <v>522</v>
      </c>
      <c r="B312" s="11"/>
      <c r="C312" s="11"/>
      <c r="D312" s="12"/>
      <c r="E312" s="10"/>
      <c r="F312" s="10"/>
      <c r="G312" s="10"/>
      <c r="H312" s="10"/>
      <c r="I312" s="10"/>
      <c r="J312" s="10"/>
      <c r="K312" s="13"/>
    </row>
    <row r="313" spans="1:11" ht="15.75" customHeight="1">
      <c r="A313" s="253" t="str">
        <f>HLOOKUP($U$1,Phrasing!A:A,20,FALSE)</f>
        <v>First year of maintenance is included in the purchase price.  *Premium Support requires an active Maintenance Agreement.</v>
      </c>
      <c r="B313" s="253"/>
      <c r="C313" s="254"/>
      <c r="D313" s="259" t="str">
        <f>CONCATENATE(IF('Perpetual Pricing'!$J$2="Standard",HLOOKUP($U$1,Phrasing!A:A,48,FALSE),IF('Perpetual Pricing'!$J$2="Gov/Edu/NonProfit",HLOOKUP($U$1,Phrasing!A:A,49,FALSE),"???"))," - ",$J$3,, " - ",VLOOKUP($J$3,PARTNERPROGRAM!$U$5:$V$9,2,FALSE))</f>
        <v>Standard Pricing - Non Partner - SRP</v>
      </c>
      <c r="E313" s="259"/>
      <c r="F313" s="259"/>
      <c r="G313" s="259"/>
      <c r="H313" s="260"/>
      <c r="I313" s="260"/>
      <c r="J313" s="259"/>
      <c r="K313" s="259"/>
    </row>
    <row r="314" spans="1:11" ht="30" customHeight="1">
      <c r="A314" s="253"/>
      <c r="B314" s="253"/>
      <c r="C314" s="254"/>
      <c r="D314" s="281" t="str">
        <f>HLOOKUP($U$1,Phrasing!A:A,40,FALSE)</f>
        <v>New</v>
      </c>
      <c r="E314" s="281"/>
      <c r="F314" s="289" t="str">
        <f>HLOOKUP($U$1,Phrasing!A:A,158,FALSE)</f>
        <v>Upgrade</v>
      </c>
      <c r="G314" s="282"/>
      <c r="H314" s="290" t="s">
        <v>6</v>
      </c>
      <c r="I314" s="291"/>
      <c r="J314" s="284" t="s">
        <v>178</v>
      </c>
      <c r="K314" s="284"/>
    </row>
    <row r="315" spans="1:11">
      <c r="A315" s="255"/>
      <c r="B315" s="255"/>
      <c r="C315" s="256"/>
      <c r="D315" s="100" t="str">
        <f>CONCATENATE(HLOOKUP($U$1,Phrasing!A:A,46,FALSE),": ",VLOOKUP('Perpetual Pricing'!$J$1,XE!$A:$B,2,FALSE))</f>
        <v>Price: EUR</v>
      </c>
      <c r="E315" s="72" t="str">
        <f>HLOOKUP($U$1,Phrasing!A:A,43,FALSE)</f>
        <v>Part Number</v>
      </c>
      <c r="F315" s="100" t="str">
        <f>CONCATENATE(HLOOKUP($U$1,Phrasing!A:A,46,FALSE),": ",VLOOKUP('Perpetual Pricing'!$J$1,XE!$A:$B,2,FALSE))</f>
        <v>Price: EUR</v>
      </c>
      <c r="G315" s="72" t="str">
        <f>HLOOKUP($U$1,Phrasing!A:A,43,FALSE)</f>
        <v>Part Number</v>
      </c>
      <c r="H315" s="100" t="str">
        <f>CONCATENATE(HLOOKUP($U$1,Phrasing!A:A,46,FALSE),": ",VLOOKUP('Perpetual Pricing'!$J$1,XE!$A:$B,2,FALSE))</f>
        <v>Price: EUR</v>
      </c>
      <c r="I315" s="72" t="str">
        <f>HLOOKUP($U$1,Phrasing!A:A,43,FALSE)</f>
        <v>Part Number</v>
      </c>
      <c r="J315" s="100" t="str">
        <f>CONCATENATE(HLOOKUP($U$1,Phrasing!A:A,46,FALSE),": ",VLOOKUP('Perpetual Pricing'!$J$1,XE!$A:$B,2,FALSE))</f>
        <v>Price: EUR</v>
      </c>
      <c r="K315" s="72" t="str">
        <f>HLOOKUP($U$1,Phrasing!A:A,43,FALSE)</f>
        <v>Part Number</v>
      </c>
    </row>
    <row r="316" spans="1:11">
      <c r="A316" s="264" t="s">
        <v>390</v>
      </c>
      <c r="B316" s="265"/>
      <c r="C316" s="266"/>
      <c r="D316" s="85" t="str">
        <f>TEXT(ROUND(VLOOKUP('Perpetual Pricing'!$J$2,XE!$M$5:$N$6,2,FALSE)*BASE!D316*VLOOKUP('Perpetual Pricing'!$J$1,XE!$A:$F,6,FALSE)* (HLOOKUP($J$3,PARTNERPROGRAM!$D$7:$H$8,2,FALSE)),VLOOKUP('Perpetual Pricing'!$J$1,XE!$A:$H,8,FALSE)),VLOOKUP('Perpetual Pricing'!$J$1,XE!$A:$G,7,FALSE))</f>
        <v>398,6900</v>
      </c>
      <c r="E316" s="42" t="str">
        <f>CONCATENATE(LEFT(BASE!E316,6),VLOOKUP('Perpetual Pricing'!$J$1,XE!$A:$C,3,FALSE),MID(BASE!E316,9,1),IF('Perpetual Pricing'!$J$2="Standard","S","G"),RIGHT(BASE!E316,7))</f>
        <v>G25080EUPS0100ZZZ</v>
      </c>
      <c r="F316" s="85" t="str">
        <f>TEXT(ROUND(VLOOKUP('Perpetual Pricing'!$J$2,XE!$M$5:$N$6,2,FALSE)*BASE!F316*VLOOKUP('Perpetual Pricing'!$J$1,XE!$A:$F,6,FALSE)* (HLOOKUP($J$3,PARTNERPROGRAM!$D$7:$H$8,2,FALSE)),VLOOKUP('Perpetual Pricing'!$J$1,XE!$A:$H,8,FALSE)),VLOOKUP('Perpetual Pricing'!$J$1,XE!$A:$G,7,FALSE))</f>
        <v>199,3400</v>
      </c>
      <c r="G316" s="42" t="str">
        <f>CONCATENATE(LEFT(BASE!G316,6),VLOOKUP('Perpetual Pricing'!$J$1,XE!$A:$C,3,FALSE),MID(BASE!G316,9,1),IF('Perpetual Pricing'!$J$2="Standard","S","G"),RIGHT(BASE!G316,7))</f>
        <v>G25080EUUS0100ZZZ</v>
      </c>
      <c r="H316" s="85" t="str">
        <f>TEXT(ROUND(VLOOKUP('Perpetual Pricing'!$J$2,XE!$M$5:$N$6,2,FALSE)*BASE!H316*VLOOKUP('Perpetual Pricing'!$J$1,XE!$A:$F,6,FALSE)* (HLOOKUP($J$3,PARTNERPROGRAM!$D$7:$H$8,2,FALSE)),VLOOKUP('Perpetual Pricing'!$J$1,XE!$A:$H,8,FALSE)),VLOOKUP('Perpetual Pricing'!$J$1,XE!$A:$G,7,FALSE))</f>
        <v>79,7400</v>
      </c>
      <c r="I316" s="42" t="str">
        <f>CONCATENATE(LEFT(BASE!I316,6),VLOOKUP('Perpetual Pricing'!$J$1,XE!$A:$C,3,FALSE),MID(BASE!I316,9,1),IF('Perpetual Pricing'!$J$2="Standard","S","G"),RIGHT(BASE!I316,7))</f>
        <v>G25080EUMS011YZZZ</v>
      </c>
      <c r="J316" s="85" t="str">
        <f>TEXT(ROUND(VLOOKUP('Perpetual Pricing'!$J$2,XE!$M$5:$N$6,2,FALSE)*BASE!J316*VLOOKUP('Perpetual Pricing'!$J$1,XE!$A:$F,6,FALSE)* (HLOOKUP($J$3,PARTNERPROGRAM!$D$7:$H$8,2,FALSE)),VLOOKUP('Perpetual Pricing'!$J$1,XE!$A:$H,8,FALSE)),VLOOKUP('Perpetual Pricing'!$J$1,XE!$A:$G,7,FALSE))</f>
        <v>59,800</v>
      </c>
      <c r="K316" s="42" t="str">
        <f>CONCATENATE(LEFT(BASE!K316,6),VLOOKUP('Perpetual Pricing'!$J$1,XE!$A:$C,3,FALSE),MID(BASE!K316,9,1),IF('Perpetual Pricing'!$J$2="Standard","S","G"),RIGHT(BASE!K316,7))</f>
        <v>G25080EUSS011YZZZ</v>
      </c>
    </row>
    <row r="317" spans="1:11">
      <c r="A317" s="264" t="s">
        <v>395</v>
      </c>
      <c r="B317" s="265"/>
      <c r="C317" s="266"/>
      <c r="D317" s="85" t="str">
        <f>TEXT(ROUND(VLOOKUP('Perpetual Pricing'!$J$2,XE!$M$5:$N$6,2,FALSE)*BASE!D317*VLOOKUP('Perpetual Pricing'!$J$1,XE!$A:$F,6,FALSE)* (HLOOKUP($J$3,PARTNERPROGRAM!$D$7:$H$8,2,FALSE)),VLOOKUP('Perpetual Pricing'!$J$1,XE!$A:$H,8,FALSE)),VLOOKUP('Perpetual Pricing'!$J$1,XE!$A:$G,7,FALSE))</f>
        <v>718,2800</v>
      </c>
      <c r="E317" s="42" t="str">
        <f>CONCATENATE(LEFT(BASE!E317,6),VLOOKUP('Perpetual Pricing'!$J$1,XE!$A:$C,3,FALSE),MID(BASE!E317,9,1),IF('Perpetual Pricing'!$J$2="Standard","S","G"),RIGHT(BASE!E317,7))</f>
        <v>GULM80EUPS0100ZZZ</v>
      </c>
      <c r="F317" s="85" t="str">
        <f>TEXT(ROUND(VLOOKUP('Perpetual Pricing'!$J$2,XE!$M$5:$N$6,2,FALSE)*BASE!F317*VLOOKUP('Perpetual Pricing'!$J$1,XE!$A:$F,6,FALSE)* (HLOOKUP($J$3,PARTNERPROGRAM!$D$7:$H$8,2,FALSE)),VLOOKUP('Perpetual Pricing'!$J$1,XE!$A:$H,8,FALSE)),VLOOKUP('Perpetual Pricing'!$J$1,XE!$A:$G,7,FALSE))</f>
        <v>359,1400</v>
      </c>
      <c r="G317" s="42" t="str">
        <f>CONCATENATE(LEFT(BASE!G317,6),VLOOKUP('Perpetual Pricing'!$J$1,XE!$A:$C,3,FALSE),MID(BASE!G317,9,1),IF('Perpetual Pricing'!$J$2="Standard","S","G"),RIGHT(BASE!G317,7))</f>
        <v>GULM80EUUS0100ZZZ</v>
      </c>
      <c r="H317" s="85" t="str">
        <f>TEXT(ROUND(VLOOKUP('Perpetual Pricing'!$J$2,XE!$M$5:$N$6,2,FALSE)*BASE!H317*VLOOKUP('Perpetual Pricing'!$J$1,XE!$A:$F,6,FALSE)* (HLOOKUP($J$3,PARTNERPROGRAM!$D$7:$H$8,2,FALSE)),VLOOKUP('Perpetual Pricing'!$J$1,XE!$A:$H,8,FALSE)),VLOOKUP('Perpetual Pricing'!$J$1,XE!$A:$G,7,FALSE))</f>
        <v>143,6600</v>
      </c>
      <c r="I317" s="42" t="str">
        <f>CONCATENATE(LEFT(BASE!I317,6),VLOOKUP('Perpetual Pricing'!$J$1,XE!$A:$C,3,FALSE),MID(BASE!I317,9,1),IF('Perpetual Pricing'!$J$2="Standard","S","G"),RIGHT(BASE!I317,7))</f>
        <v>GULM80EUMS011YZZZ</v>
      </c>
      <c r="J317" s="85" t="str">
        <f>TEXT(ROUND(VLOOKUP('Perpetual Pricing'!$J$2,XE!$M$5:$N$6,2,FALSE)*BASE!J317*VLOOKUP('Perpetual Pricing'!$J$1,XE!$A:$F,6,FALSE)* (HLOOKUP($J$3,PARTNERPROGRAM!$D$7:$H$8,2,FALSE)),VLOOKUP('Perpetual Pricing'!$J$1,XE!$A:$H,8,FALSE)),VLOOKUP('Perpetual Pricing'!$J$1,XE!$A:$G,7,FALSE))</f>
        <v>107,7400</v>
      </c>
      <c r="K317" s="42" t="str">
        <f>CONCATENATE(LEFT(BASE!K317,6),VLOOKUP('Perpetual Pricing'!$J$1,XE!$A:$C,3,FALSE),MID(BASE!K317,9,1),IF('Perpetual Pricing'!$J$2="Standard","S","G"),RIGHT(BASE!K317,7))</f>
        <v>GULM80EUSS011YZZZ</v>
      </c>
    </row>
    <row r="318" spans="1:11">
      <c r="A318" s="264" t="s">
        <v>400</v>
      </c>
      <c r="B318" s="265"/>
      <c r="C318" s="266"/>
      <c r="D318" s="85" t="str">
        <f>TEXT(ROUND(VLOOKUP('Perpetual Pricing'!$J$2,XE!$M$5:$N$6,2,FALSE)*BASE!D318*VLOOKUP('Perpetual Pricing'!$J$1,XE!$A:$F,6,FALSE)* (HLOOKUP($J$3,PARTNERPROGRAM!$D$7:$H$8,2,FALSE)),VLOOKUP('Perpetual Pricing'!$J$1,XE!$A:$H,8,FALSE)),VLOOKUP('Perpetual Pricing'!$J$1,XE!$A:$G,7,FALSE))</f>
        <v>159,7600</v>
      </c>
      <c r="E318" s="42" t="str">
        <f>CONCATENATE(LEFT(BASE!E318,6),VLOOKUP('Perpetual Pricing'!$J$1,XE!$A:$C,3,FALSE),MID(BASE!E318,9,1),IF('Perpetual Pricing'!$J$2="Standard","S","G"),RIGHT(BASE!E318,7))</f>
        <v>GPRJ80EUPS012MZZZ</v>
      </c>
      <c r="F318" s="287" t="s">
        <v>40</v>
      </c>
      <c r="G318" s="287"/>
      <c r="H318" s="288" t="s">
        <v>40</v>
      </c>
      <c r="I318" s="288"/>
      <c r="J318" s="85" t="str">
        <f>TEXT(ROUND(VLOOKUP('Perpetual Pricing'!$J$2,XE!$M$5:$N$6,2,FALSE)*BASE!J318*VLOOKUP('Perpetual Pricing'!$J$1,XE!$A:$F,6,FALSE)* (HLOOKUP($J$3,PARTNERPROGRAM!$D$7:$H$8,2,FALSE)),VLOOKUP('Perpetual Pricing'!$J$1,XE!$A:$H,8,FALSE)),VLOOKUP('Perpetual Pricing'!$J$1,XE!$A:$G,7,FALSE))</f>
        <v>23,9600</v>
      </c>
      <c r="K318" s="42" t="str">
        <f>CONCATENATE(LEFT(BASE!K318,6),VLOOKUP('Perpetual Pricing'!$J$1,XE!$A:$C,3,FALSE),MID(BASE!K318,9,1),IF('Perpetual Pricing'!$J$2="Standard","S","G"),RIGHT(BASE!K318,7))</f>
        <v>GPRJ80EUSS012MZZZ</v>
      </c>
    </row>
    <row r="319" spans="1:11">
      <c r="A319" s="264" t="s">
        <v>403</v>
      </c>
      <c r="B319" s="265"/>
      <c r="C319" s="266"/>
      <c r="D319" s="85" t="str">
        <f>TEXT(ROUND(VLOOKUP('Perpetual Pricing'!$J$2,XE!$M$5:$N$6,2,FALSE)*BASE!D319*VLOOKUP('Perpetual Pricing'!$J$1,XE!$A:$F,6,FALSE)* (HLOOKUP($J$3,PARTNERPROGRAM!$D$7:$H$8,2,FALSE)),VLOOKUP('Perpetual Pricing'!$J$1,XE!$A:$H,8,FALSE)),VLOOKUP('Perpetual Pricing'!$J$1,XE!$A:$G,7,FALSE))</f>
        <v>319,5900</v>
      </c>
      <c r="E319" s="42" t="str">
        <f>CONCATENATE(LEFT(BASE!E319,6),VLOOKUP('Perpetual Pricing'!$J$1,XE!$A:$C,3,FALSE),MID(BASE!E319,9,1),IF('Perpetual Pricing'!$J$2="Standard","S","G"),RIGHT(BASE!E319,7))</f>
        <v>GULU80EUUS0100ZPZ</v>
      </c>
      <c r="F319" s="287"/>
      <c r="G319" s="287"/>
      <c r="H319" s="288"/>
      <c r="I319" s="288"/>
      <c r="J319" s="85" t="str">
        <f>TEXT(ROUND(VLOOKUP('Perpetual Pricing'!$J$2,XE!$M$5:$N$6,2,FALSE)*BASE!J319*VLOOKUP('Perpetual Pricing'!$J$1,XE!$A:$F,6,FALSE)* (HLOOKUP($J$3,PARTNERPROGRAM!$D$7:$H$8,2,FALSE)),VLOOKUP('Perpetual Pricing'!$J$1,XE!$A:$H,8,FALSE)),VLOOKUP('Perpetual Pricing'!$J$1,XE!$A:$G,7,FALSE))</f>
        <v>47,9400</v>
      </c>
      <c r="K319" s="42" t="str">
        <f>CONCATENATE(LEFT(BASE!K319,6),VLOOKUP('Perpetual Pricing'!$J$1,XE!$A:$C,3,FALSE),MID(BASE!K319,9,1),IF('Perpetual Pricing'!$J$2="Standard","S","G"),RIGHT(BASE!K319,7))</f>
        <v>GULU80EUSS011YZPZ</v>
      </c>
    </row>
    <row r="320" spans="1:11">
      <c r="A320" s="264" t="s">
        <v>406</v>
      </c>
      <c r="B320" s="265"/>
      <c r="C320" s="266"/>
      <c r="D320" s="85" t="str">
        <f>TEXT(ROUND(VLOOKUP('Perpetual Pricing'!$J$2,XE!$M$5:$N$6,2,FALSE)*BASE!D320*VLOOKUP('Perpetual Pricing'!$J$1,XE!$A:$F,6,FALSE)* (HLOOKUP($J$3,PARTNERPROGRAM!$D$7:$H$8,2,FALSE)),VLOOKUP('Perpetual Pricing'!$J$1,XE!$A:$H,8,FALSE)),VLOOKUP('Perpetual Pricing'!$J$1,XE!$A:$G,7,FALSE))</f>
        <v>1197,6700</v>
      </c>
      <c r="E320" s="42" t="str">
        <f>CONCATENATE(LEFT(BASE!E320,6),VLOOKUP('Perpetual Pricing'!$J$1,XE!$A:$C,3,FALSE),MID(BASE!E320,9,1),IF('Perpetual Pricing'!$J$2="Standard","S","G"),RIGHT(BASE!E320,7))</f>
        <v>GD2580EUPS0100ZZZ</v>
      </c>
      <c r="F320" s="85" t="str">
        <f>TEXT(ROUND(VLOOKUP('Perpetual Pricing'!$J$2,XE!$M$5:$N$6,2,FALSE)*BASE!F320*VLOOKUP('Perpetual Pricing'!$J$1,XE!$A:$F,6,FALSE)* (HLOOKUP($J$3,PARTNERPROGRAM!$D$7:$H$8,2,FALSE)),VLOOKUP('Perpetual Pricing'!$J$1,XE!$A:$H,8,FALSE)),VLOOKUP('Perpetual Pricing'!$J$1,XE!$A:$G,7,FALSE))</f>
        <v>598,8300</v>
      </c>
      <c r="G320" s="42" t="str">
        <f>CONCATENATE(LEFT(BASE!G320,6),VLOOKUP('Perpetual Pricing'!$J$1,XE!$A:$C,3,FALSE),MID(BASE!G320,9,1),IF('Perpetual Pricing'!$J$2="Standard","S","G"),RIGHT(BASE!G320,7))</f>
        <v>GD2580EUUS0100ZZZ</v>
      </c>
      <c r="H320" s="85" t="str">
        <f>TEXT(ROUND(VLOOKUP('Perpetual Pricing'!$J$2,XE!$M$5:$N$6,2,FALSE)*BASE!H320*VLOOKUP('Perpetual Pricing'!$J$1,XE!$A:$F,6,FALSE)* (HLOOKUP($J$3,PARTNERPROGRAM!$D$7:$H$8,2,FALSE)),VLOOKUP('Perpetual Pricing'!$J$1,XE!$A:$H,8,FALSE)),VLOOKUP('Perpetual Pricing'!$J$1,XE!$A:$G,7,FALSE))</f>
        <v>239,5300</v>
      </c>
      <c r="I320" s="42" t="str">
        <f>CONCATENATE(LEFT(BASE!I320,6),VLOOKUP('Perpetual Pricing'!$J$1,XE!$A:$C,3,FALSE),MID(BASE!I320,9,1),IF('Perpetual Pricing'!$J$2="Standard","S","G"),RIGHT(BASE!I320,7))</f>
        <v>GD2580EUMS011YZZZ</v>
      </c>
      <c r="J320" s="85" t="str">
        <f>TEXT(ROUND(VLOOKUP('Perpetual Pricing'!$J$2,XE!$M$5:$N$6,2,FALSE)*BASE!J320*VLOOKUP('Perpetual Pricing'!$J$1,XE!$A:$F,6,FALSE)* (HLOOKUP($J$3,PARTNERPROGRAM!$D$7:$H$8,2,FALSE)),VLOOKUP('Perpetual Pricing'!$J$1,XE!$A:$H,8,FALSE)),VLOOKUP('Perpetual Pricing'!$J$1,XE!$A:$G,7,FALSE))</f>
        <v>179,6500</v>
      </c>
      <c r="K320" s="42" t="str">
        <f>CONCATENATE(LEFT(BASE!K320,6),VLOOKUP('Perpetual Pricing'!$J$1,XE!$A:$C,3,FALSE),MID(BASE!K320,9,1),IF('Perpetual Pricing'!$J$2="Standard","S","G"),RIGHT(BASE!K320,7))</f>
        <v>GD2580EUSS011YZZZ</v>
      </c>
    </row>
    <row r="321" spans="1:11">
      <c r="A321" s="264" t="s">
        <v>411</v>
      </c>
      <c r="B321" s="265"/>
      <c r="C321" s="266"/>
      <c r="D321" s="85" t="str">
        <f>TEXT(ROUND(VLOOKUP('Perpetual Pricing'!$J$2,XE!$M$5:$N$6,2,FALSE)*BASE!D321*VLOOKUP('Perpetual Pricing'!$J$1,XE!$A:$F,6,FALSE)* (HLOOKUP($J$3,PARTNERPROGRAM!$D$7:$H$8,2,FALSE)),VLOOKUP('Perpetual Pricing'!$J$1,XE!$A:$H,8,FALSE)),VLOOKUP('Perpetual Pricing'!$J$1,XE!$A:$G,7,FALSE))</f>
        <v>1517,2600</v>
      </c>
      <c r="E321" s="42" t="str">
        <f>CONCATENATE(LEFT(BASE!E321,6),VLOOKUP('Perpetual Pricing'!$J$1,XE!$A:$C,3,FALSE),MID(BASE!E321,9,1),IF('Perpetual Pricing'!$J$2="Standard","S","G"),RIGHT(BASE!E321,7))</f>
        <v>GDUL80EUPS0100ZZZ</v>
      </c>
      <c r="F321" s="85" t="str">
        <f>TEXT(ROUND(VLOOKUP('Perpetual Pricing'!$J$2,XE!$M$5:$N$6,2,FALSE)*BASE!F321*VLOOKUP('Perpetual Pricing'!$J$1,XE!$A:$F,6,FALSE)* (HLOOKUP($J$3,PARTNERPROGRAM!$D$7:$H$8,2,FALSE)),VLOOKUP('Perpetual Pricing'!$J$1,XE!$A:$H,8,FALSE)),VLOOKUP('Perpetual Pricing'!$J$1,XE!$A:$G,7,FALSE))</f>
        <v>758,6300</v>
      </c>
      <c r="G321" s="42" t="str">
        <f>CONCATENATE(LEFT(BASE!G321,6),VLOOKUP('Perpetual Pricing'!$J$1,XE!$A:$C,3,FALSE),MID(BASE!G321,9,1),IF('Perpetual Pricing'!$J$2="Standard","S","G"),RIGHT(BASE!G321,7))</f>
        <v>GDUL80EUUS0100ZZZ</v>
      </c>
      <c r="H321" s="85" t="str">
        <f>TEXT(ROUND(VLOOKUP('Perpetual Pricing'!$J$2,XE!$M$5:$N$6,2,FALSE)*BASE!H321*VLOOKUP('Perpetual Pricing'!$J$1,XE!$A:$F,6,FALSE)* (HLOOKUP($J$3,PARTNERPROGRAM!$D$7:$H$8,2,FALSE)),VLOOKUP('Perpetual Pricing'!$J$1,XE!$A:$H,8,FALSE)),VLOOKUP('Perpetual Pricing'!$J$1,XE!$A:$G,7,FALSE))</f>
        <v>303,4500</v>
      </c>
      <c r="I321" s="42" t="str">
        <f>CONCATENATE(LEFT(BASE!I321,6),VLOOKUP('Perpetual Pricing'!$J$1,XE!$A:$C,3,FALSE),MID(BASE!I321,9,1),IF('Perpetual Pricing'!$J$2="Standard","S","G"),RIGHT(BASE!I321,7))</f>
        <v>GDUL80EUMS011YZZZ</v>
      </c>
      <c r="J321" s="85" t="str">
        <f>TEXT(ROUND(VLOOKUP('Perpetual Pricing'!$J$2,XE!$M$5:$N$6,2,FALSE)*BASE!J321*VLOOKUP('Perpetual Pricing'!$J$1,XE!$A:$F,6,FALSE)* (HLOOKUP($J$3,PARTNERPROGRAM!$D$7:$H$8,2,FALSE)),VLOOKUP('Perpetual Pricing'!$J$1,XE!$A:$H,8,FALSE)),VLOOKUP('Perpetual Pricing'!$J$1,XE!$A:$G,7,FALSE))</f>
        <v>227,5900</v>
      </c>
      <c r="K321" s="42" t="str">
        <f>CONCATENATE(LEFT(BASE!K321,6),VLOOKUP('Perpetual Pricing'!$J$1,XE!$A:$C,3,FALSE),MID(BASE!K321,9,1),IF('Perpetual Pricing'!$J$2="Standard","S","G"),RIGHT(BASE!K321,7))</f>
        <v>GDUL80EUSS011YZZZ</v>
      </c>
    </row>
    <row r="322" spans="1:11">
      <c r="A322" s="264" t="s">
        <v>416</v>
      </c>
      <c r="B322" s="265"/>
      <c r="C322" s="266"/>
      <c r="D322" s="85" t="str">
        <f>TEXT(ROUND(VLOOKUP('Perpetual Pricing'!$J$2,XE!$M$5:$N$6,2,FALSE)*BASE!D322*VLOOKUP('Perpetual Pricing'!$J$1,XE!$A:$F,6,FALSE)* (HLOOKUP($J$3,PARTNERPROGRAM!$D$7:$H$8,2,FALSE)),VLOOKUP('Perpetual Pricing'!$J$1,XE!$A:$H,8,FALSE)),VLOOKUP('Perpetual Pricing'!$J$1,XE!$A:$G,7,FALSE))</f>
        <v>638,3800</v>
      </c>
      <c r="E322" s="42" t="str">
        <f>CONCATENATE(LEFT(BASE!E322,6),VLOOKUP('Perpetual Pricing'!$J$1,XE!$A:$C,3,FALSE),MID(BASE!E322,9,1),IF('Perpetual Pricing'!$J$2="Standard","S","G"),RIGHT(BASE!E322,7))</f>
        <v>GDPJ80EUPS012MZZZ</v>
      </c>
      <c r="F322" s="270" t="s">
        <v>40</v>
      </c>
      <c r="G322" s="270"/>
      <c r="H322" s="270" t="s">
        <v>40</v>
      </c>
      <c r="I322" s="270"/>
      <c r="J322" s="85" t="str">
        <f>TEXT(ROUND(VLOOKUP('Perpetual Pricing'!$J$2,XE!$M$5:$N$6,2,FALSE)*BASE!J322*VLOOKUP('Perpetual Pricing'!$J$1,XE!$A:$F,6,FALSE)* (HLOOKUP($J$3,PARTNERPROGRAM!$D$7:$H$8,2,FALSE)),VLOOKUP('Perpetual Pricing'!$J$1,XE!$A:$H,8,FALSE)),VLOOKUP('Perpetual Pricing'!$J$1,XE!$A:$G,7,FALSE))</f>
        <v>95,7600</v>
      </c>
      <c r="K322" s="42" t="str">
        <f>CONCATENATE(LEFT(BASE!K322,6),VLOOKUP('Perpetual Pricing'!$J$1,XE!$A:$C,3,FALSE),MID(BASE!K322,9,1),IF('Perpetual Pricing'!$J$2="Standard","S","G"),RIGHT(BASE!K322,7))</f>
        <v>GDPJ80EUSS012MZZZ</v>
      </c>
    </row>
    <row r="323" spans="1:11">
      <c r="A323" s="264" t="s">
        <v>419</v>
      </c>
      <c r="B323" s="265"/>
      <c r="C323" s="266"/>
      <c r="D323" s="85" t="str">
        <f>TEXT(ROUND(VLOOKUP('Perpetual Pricing'!$J$2,XE!$M$5:$N$6,2,FALSE)*BASE!D323*VLOOKUP('Perpetual Pricing'!$J$1,XE!$A:$F,6,FALSE)* (HLOOKUP($J$3,PARTNERPROGRAM!$D$7:$H$8,2,FALSE)),VLOOKUP('Perpetual Pricing'!$J$1,XE!$A:$H,8,FALSE)),VLOOKUP('Perpetual Pricing'!$J$1,XE!$A:$G,7,FALSE))</f>
        <v>319,5900</v>
      </c>
      <c r="E323" s="42" t="str">
        <f>CONCATENATE(LEFT(BASE!E323,6),VLOOKUP('Perpetual Pricing'!$J$1,XE!$A:$C,3,FALSE),MID(BASE!E323,9,1),IF('Perpetual Pricing'!$J$2="Standard","S","G"),RIGHT(BASE!E323,7))</f>
        <v>GDUG80EUPS0100ZPZ</v>
      </c>
      <c r="F323" s="270"/>
      <c r="G323" s="270"/>
      <c r="H323" s="270"/>
      <c r="I323" s="270"/>
      <c r="J323" s="85" t="str">
        <f>TEXT(ROUND(VLOOKUP('Perpetual Pricing'!$J$2,XE!$M$5:$N$6,2,FALSE)*BASE!J323*VLOOKUP('Perpetual Pricing'!$J$1,XE!$A:$F,6,FALSE)* (HLOOKUP($J$3,PARTNERPROGRAM!$D$7:$H$8,2,FALSE)),VLOOKUP('Perpetual Pricing'!$J$1,XE!$A:$H,8,FALSE)),VLOOKUP('Perpetual Pricing'!$J$1,XE!$A:$G,7,FALSE))</f>
        <v>47,9400</v>
      </c>
      <c r="K323" s="42" t="str">
        <f>CONCATENATE(LEFT(BASE!K323,6),VLOOKUP('Perpetual Pricing'!$J$1,XE!$A:$C,3,FALSE),MID(BASE!K323,9,1),IF('Perpetual Pricing'!$J$2="Standard","S","G"),RIGHT(BASE!K323,7))</f>
        <v>GDUG80EUSS011YZZZ</v>
      </c>
    </row>
    <row r="324" spans="1:11">
      <c r="A324" s="264" t="s">
        <v>422</v>
      </c>
      <c r="B324" s="265"/>
      <c r="C324" s="266"/>
      <c r="D324" s="85" t="str">
        <f>TEXT(ROUND(VLOOKUP('Perpetual Pricing'!$J$2,XE!$M$5:$N$6,2,FALSE)*BASE!D324*VLOOKUP('Perpetual Pricing'!$J$1,XE!$A:$F,6,FALSE)* (HLOOKUP($J$3,PARTNERPROGRAM!$D$7:$H$8,2,FALSE)),VLOOKUP('Perpetual Pricing'!$J$1,XE!$A:$H,8,FALSE)),VLOOKUP('Perpetual Pricing'!$J$1,XE!$A:$G,7,FALSE))</f>
        <v>798,9800</v>
      </c>
      <c r="E324" s="42" t="str">
        <f>CONCATENATE(LEFT(BASE!E324,6),VLOOKUP('Perpetual Pricing'!$J$1,XE!$A:$C,3,FALSE),MID(BASE!E324,9,1),IF('Perpetual Pricing'!$J$2="Standard","S","G"),RIGHT(BASE!E324,7))</f>
        <v>GRD280EUPS0100ZPZ</v>
      </c>
      <c r="F324" s="270"/>
      <c r="G324" s="270"/>
      <c r="H324" s="270"/>
      <c r="I324" s="270"/>
      <c r="J324" s="85" t="str">
        <f>TEXT(ROUND(VLOOKUP('Perpetual Pricing'!$J$2,XE!$M$5:$N$6,2,FALSE)*BASE!J324*VLOOKUP('Perpetual Pricing'!$J$1,XE!$A:$F,6,FALSE)* (HLOOKUP($J$3,PARTNERPROGRAM!$D$7:$H$8,2,FALSE)),VLOOKUP('Perpetual Pricing'!$J$1,XE!$A:$H,8,FALSE)),VLOOKUP('Perpetual Pricing'!$J$1,XE!$A:$G,7,FALSE))</f>
        <v>119,8500</v>
      </c>
      <c r="K324" s="42" t="str">
        <f>CONCATENATE(LEFT(BASE!K324,6),VLOOKUP('Perpetual Pricing'!$J$1,XE!$A:$C,3,FALSE),MID(BASE!K324,9,1),IF('Perpetual Pricing'!$J$2="Standard","S","G"),RIGHT(BASE!K324,7))</f>
        <v>GRD280EUSS0100ZPZ</v>
      </c>
    </row>
    <row r="325" spans="1:11">
      <c r="A325" s="264" t="s">
        <v>425</v>
      </c>
      <c r="B325" s="265"/>
      <c r="C325" s="266"/>
      <c r="D325" s="85" t="str">
        <f>TEXT(ROUND(VLOOKUP('Perpetual Pricing'!$J$2,XE!$M$5:$N$6,2,FALSE)*BASE!D325*VLOOKUP('Perpetual Pricing'!$J$1,XE!$A:$F,6,FALSE)* (HLOOKUP($J$3,PARTNERPROGRAM!$D$7:$H$8,2,FALSE)),VLOOKUP('Perpetual Pricing'!$J$1,XE!$A:$H,8,FALSE)),VLOOKUP('Perpetual Pricing'!$J$1,XE!$A:$G,7,FALSE))</f>
        <v>798,9800</v>
      </c>
      <c r="E325" s="42" t="str">
        <f>CONCATENATE(LEFT(BASE!E325,6),VLOOKUP('Perpetual Pricing'!$J$1,XE!$A:$C,3,FALSE),MID(BASE!E325,9,1),IF('Perpetual Pricing'!$J$2="Standard","S","G"),RIGHT(BASE!E325,7))</f>
        <v>GRDU80EUPS0100ZPZ</v>
      </c>
      <c r="F325" s="270"/>
      <c r="G325" s="270"/>
      <c r="H325" s="270"/>
      <c r="I325" s="270"/>
      <c r="J325" s="85" t="str">
        <f>TEXT(ROUND(VLOOKUP('Perpetual Pricing'!$J$2,XE!$M$5:$N$6,2,FALSE)*BASE!J325*VLOOKUP('Perpetual Pricing'!$J$1,XE!$A:$F,6,FALSE)* (HLOOKUP($J$3,PARTNERPROGRAM!$D$7:$H$8,2,FALSE)),VLOOKUP('Perpetual Pricing'!$J$1,XE!$A:$H,8,FALSE)),VLOOKUP('Perpetual Pricing'!$J$1,XE!$A:$G,7,FALSE))</f>
        <v>119,8500</v>
      </c>
      <c r="K325" s="42" t="str">
        <f>CONCATENATE(LEFT(BASE!K325,6),VLOOKUP('Perpetual Pricing'!$J$1,XE!$A:$C,3,FALSE),MID(BASE!K325,9,1),IF('Perpetual Pricing'!$J$2="Standard","S","G"),RIGHT(BASE!K325,7))</f>
        <v>GRDU80EUSS0100ZPZ</v>
      </c>
    </row>
    <row r="326" spans="1:11">
      <c r="A326" s="44" t="str">
        <f>HLOOKUP($U$1,Phrasing!A:A,172,FALSE)</f>
        <v>* GRE Project License is valid for 60 days.</v>
      </c>
      <c r="G326" s="10"/>
      <c r="H326" s="10"/>
      <c r="I326" s="10"/>
      <c r="J326" s="10"/>
      <c r="K326" s="10"/>
    </row>
    <row r="327" spans="1:11">
      <c r="A327" s="210"/>
      <c r="B327" s="210"/>
      <c r="C327" s="210"/>
      <c r="D327" s="210"/>
      <c r="E327" s="210"/>
      <c r="F327" s="210"/>
      <c r="G327" s="10"/>
      <c r="H327" s="10"/>
      <c r="I327" s="10"/>
      <c r="J327" s="10"/>
      <c r="K327" s="10"/>
    </row>
    <row r="328" spans="1:11" ht="20.25">
      <c r="A328" s="215" t="s">
        <v>514</v>
      </c>
      <c r="B328" s="11"/>
      <c r="C328" s="11"/>
      <c r="D328" s="12"/>
      <c r="E328" s="9"/>
      <c r="F328" s="1"/>
      <c r="G328" s="9"/>
      <c r="H328" s="1"/>
      <c r="I328" s="9"/>
      <c r="J328" s="1"/>
      <c r="K328" s="13"/>
    </row>
    <row r="329" spans="1:11" ht="15">
      <c r="A329" s="292"/>
      <c r="B329" s="292"/>
      <c r="C329" s="293"/>
      <c r="D329" s="259" t="str">
        <f>CONCATENATE(IF('Perpetual Pricing'!$J$2="Standard",HLOOKUP($U$1,Phrasing!A:A,48,FALSE),IF('Perpetual Pricing'!$J$2="Gov/Edu/NonProfit",HLOOKUP($U$1,Phrasing!A:A,49,FALSE),"???"))," - ",$J$3,, " - ",VLOOKUP($J$3,PARTNERPROGRAM!$U$5:$V$9,2,FALSE))</f>
        <v>Standard Pricing - Non Partner - SRP</v>
      </c>
      <c r="E329" s="259"/>
      <c r="F329" s="259"/>
      <c r="G329" s="259"/>
      <c r="H329" s="260"/>
      <c r="I329" s="260"/>
      <c r="J329" s="259"/>
      <c r="K329" s="259"/>
    </row>
    <row r="330" spans="1:11" ht="29.25" customHeight="1">
      <c r="A330" s="293"/>
      <c r="B330" s="293"/>
      <c r="C330" s="293"/>
      <c r="D330" s="281" t="str">
        <f>HLOOKUP($U$1,Phrasing!A:A,40,FALSE)</f>
        <v>New</v>
      </c>
      <c r="E330" s="281"/>
      <c r="F330" s="282" t="str">
        <f>HLOOKUP($U$1,Phrasing!A:A,171,FALSE)</f>
        <v>Renewal</v>
      </c>
      <c r="G330" s="282"/>
      <c r="H330" s="283" t="s">
        <v>177</v>
      </c>
      <c r="I330" s="283"/>
      <c r="J330" s="284" t="s">
        <v>178</v>
      </c>
      <c r="K330" s="284"/>
    </row>
    <row r="331" spans="1:11">
      <c r="A331" s="277" t="s">
        <v>484</v>
      </c>
      <c r="B331" s="277"/>
      <c r="C331" s="82" t="s">
        <v>483</v>
      </c>
      <c r="D331" s="100" t="str">
        <f>CONCATENATE(HLOOKUP($U$1,Phrasing!A:A,46,FALSE),": ",VLOOKUP('Perpetual Pricing'!$J$1,XE!$A:$B,2,FALSE))</f>
        <v>Price: EUR</v>
      </c>
      <c r="E331" s="72" t="str">
        <f>HLOOKUP($U$1,Phrasing!A:A,43,FALSE)</f>
        <v>Part Number</v>
      </c>
      <c r="F331" s="99" t="s">
        <v>12</v>
      </c>
      <c r="G331" s="72" t="str">
        <f>HLOOKUP($U$1,Phrasing!A:A,43,FALSE)</f>
        <v>Part Number</v>
      </c>
      <c r="H331" s="99" t="s">
        <v>12</v>
      </c>
      <c r="I331" s="72" t="str">
        <f>HLOOKUP($U$1,Phrasing!A:A,43,FALSE)</f>
        <v>Part Number</v>
      </c>
      <c r="J331" s="99" t="s">
        <v>12</v>
      </c>
      <c r="K331" s="72" t="str">
        <f>HLOOKUP($U$1,Phrasing!A:A,43,FALSE)</f>
        <v>Part Number</v>
      </c>
    </row>
    <row r="332" spans="1:11">
      <c r="A332" s="296" t="s">
        <v>429</v>
      </c>
      <c r="B332" s="296"/>
      <c r="C332" s="83">
        <v>1</v>
      </c>
      <c r="D332" s="85" t="str">
        <f>TEXT(ROUND(VLOOKUP('Perpetual Pricing'!$J$2,XE!$M$5:$N$6,2,FALSE)*BASE!D331*VLOOKUP('Perpetual Pricing'!$J$1,XE!$A:$F,6,FALSE)* (HLOOKUP($J$3,PARTNERPROGRAM!$D$7:$H$8,2,FALSE)),VLOOKUP('Perpetual Pricing'!$J$1,XE!$A:$H,8,FALSE)),VLOOKUP('Perpetual Pricing'!$J$1,XE!$A:$G,7,FALSE))</f>
        <v>39,9500</v>
      </c>
      <c r="E332" s="42" t="str">
        <f>CONCATENATE(LEFT(BASE!E331,6),VLOOKUP('Perpetual Pricing'!$J$1,XE!$A:$C,3,FALSE),MID(BASE!E331,9,1),IF('Perpetual Pricing'!$J$2="Standard","S","G"),RIGHT(BASE!E331,7))</f>
        <v>PDSK00EUSS0100ZZZ</v>
      </c>
      <c r="F332" s="287" t="s">
        <v>40</v>
      </c>
      <c r="G332" s="287"/>
      <c r="H332" s="287" t="s">
        <v>40</v>
      </c>
      <c r="I332" s="287"/>
      <c r="J332" s="287" t="s">
        <v>40</v>
      </c>
      <c r="K332" s="287"/>
    </row>
    <row r="333" spans="1:11">
      <c r="A333" s="296"/>
      <c r="B333" s="296"/>
      <c r="C333" s="83">
        <v>5</v>
      </c>
      <c r="D333" s="85" t="str">
        <f>TEXT(ROUND(VLOOKUP('Perpetual Pricing'!$J$2,XE!$M$5:$N$6,2,FALSE)*BASE!D332*VLOOKUP('Perpetual Pricing'!$J$1,XE!$A:$F,6,FALSE)* (HLOOKUP($J$3,PARTNERPROGRAM!$D$7:$H$8,2,FALSE)),VLOOKUP('Perpetual Pricing'!$J$1,XE!$A:$H,8,FALSE)),VLOOKUP('Perpetual Pricing'!$J$1,XE!$A:$G,7,FALSE))</f>
        <v>179,7700</v>
      </c>
      <c r="E333" s="42" t="str">
        <f>CONCATENATE(LEFT(BASE!E332,6),VLOOKUP('Perpetual Pricing'!$J$1,XE!$A:$C,3,FALSE),MID(BASE!E332,9,1),IF('Perpetual Pricing'!$J$2="Standard","S","G"),RIGHT(BASE!E332,7))</f>
        <v>PDSK00EUSS0500ZZZ</v>
      </c>
      <c r="F333" s="287"/>
      <c r="G333" s="287"/>
      <c r="H333" s="287"/>
      <c r="I333" s="287"/>
      <c r="J333" s="287"/>
      <c r="K333" s="287"/>
    </row>
    <row r="334" spans="1:11">
      <c r="A334" s="286" t="s">
        <v>432</v>
      </c>
      <c r="B334" s="286"/>
      <c r="C334" s="83">
        <v>1</v>
      </c>
      <c r="D334" s="85" t="str">
        <f>TEXT(ROUND(VLOOKUP('Perpetual Pricing'!$J$2,XE!$M$5:$N$6,2,FALSE)*BASE!D333*VLOOKUP('Perpetual Pricing'!$J$1,XE!$A:$F,6,FALSE)* (HLOOKUP($J$3,PARTNERPROGRAM!$D$7:$H$8,2,FALSE)),VLOOKUP('Perpetual Pricing'!$J$1,XE!$A:$H,8,FALSE)),VLOOKUP('Perpetual Pricing'!$J$1,XE!$A:$G,7,FALSE))</f>
        <v>239,6900</v>
      </c>
      <c r="E334" s="42" t="str">
        <f>CONCATENATE(LEFT(BASE!E333,6),VLOOKUP('Perpetual Pricing'!$J$1,XE!$A:$C,3,FALSE),MID(BASE!E333,9,1),IF('Perpetual Pricing'!$J$2="Standard","S","G"),RIGHT(BASE!E333,7))</f>
        <v>PENT00EUSS0100ZZZ</v>
      </c>
      <c r="F334" s="287"/>
      <c r="G334" s="287"/>
      <c r="H334" s="287"/>
      <c r="I334" s="287"/>
      <c r="J334" s="287"/>
      <c r="K334" s="287"/>
    </row>
    <row r="335" spans="1:11">
      <c r="A335" s="286"/>
      <c r="B335" s="286"/>
      <c r="C335" s="83">
        <v>5</v>
      </c>
      <c r="D335" s="85" t="str">
        <f>TEXT(ROUND(VLOOKUP('Perpetual Pricing'!$J$2,XE!$M$5:$N$6,2,FALSE)*BASE!D334*VLOOKUP('Perpetual Pricing'!$J$1,XE!$A:$F,6,FALSE)* (HLOOKUP($J$3,PARTNERPROGRAM!$D$7:$H$8,2,FALSE)),VLOOKUP('Perpetual Pricing'!$J$1,XE!$A:$H,8,FALSE)),VLOOKUP('Perpetual Pricing'!$J$1,XE!$A:$G,7,FALSE))</f>
        <v>1098,5900</v>
      </c>
      <c r="E335" s="42" t="str">
        <f>CONCATENATE(LEFT(BASE!E334,6),VLOOKUP('Perpetual Pricing'!$J$1,XE!$A:$C,3,FALSE),MID(BASE!E334,9,1),IF('Perpetual Pricing'!$J$2="Standard","S","G"),RIGHT(BASE!E334,7))</f>
        <v>PENT00EUSS0500ZZZ</v>
      </c>
      <c r="F335" s="287"/>
      <c r="G335" s="287"/>
      <c r="H335" s="287"/>
      <c r="I335" s="287"/>
      <c r="J335" s="287"/>
      <c r="K335" s="287"/>
    </row>
    <row r="336" spans="1:11">
      <c r="A336" s="286"/>
      <c r="B336" s="286"/>
      <c r="C336" s="83">
        <v>10</v>
      </c>
      <c r="D336" s="85" t="str">
        <f>TEXT(ROUND(VLOOKUP('Perpetual Pricing'!$J$2,XE!$M$5:$N$6,2,FALSE)*BASE!D335*VLOOKUP('Perpetual Pricing'!$J$1,XE!$A:$F,6,FALSE)* (HLOOKUP($J$3,PARTNERPROGRAM!$D$7:$H$8,2,FALSE)),VLOOKUP('Perpetual Pricing'!$J$1,XE!$A:$H,8,FALSE)),VLOOKUP('Perpetual Pricing'!$J$1,XE!$A:$G,7,FALSE))</f>
        <v>1997,4400</v>
      </c>
      <c r="E336" s="42" t="str">
        <f>CONCATENATE(LEFT(BASE!E335,6),VLOOKUP('Perpetual Pricing'!$J$1,XE!$A:$C,3,FALSE),MID(BASE!E335,9,1),IF('Perpetual Pricing'!$J$2="Standard","S","G"),RIGHT(BASE!E335,7))</f>
        <v>PENT00EUSS1000ZZZ</v>
      </c>
      <c r="F336" s="287"/>
      <c r="G336" s="287"/>
      <c r="H336" s="287"/>
      <c r="I336" s="287"/>
      <c r="J336" s="287"/>
      <c r="K336" s="287"/>
    </row>
    <row r="337" spans="1:11">
      <c r="A337" s="44" t="s">
        <v>436</v>
      </c>
      <c r="B337" s="45"/>
      <c r="C337" s="50"/>
      <c r="D337" s="84"/>
      <c r="E337" s="36"/>
      <c r="F337" s="35"/>
      <c r="G337" s="36"/>
      <c r="H337" s="35"/>
      <c r="I337" s="36"/>
      <c r="J337" s="35"/>
      <c r="K337" s="36"/>
    </row>
    <row r="338" spans="1:11">
      <c r="A338" s="7"/>
      <c r="B338" s="7"/>
      <c r="C338" s="7"/>
      <c r="D338" s="1"/>
      <c r="E338" s="9"/>
      <c r="F338" s="1"/>
      <c r="G338" s="9"/>
      <c r="H338" s="1"/>
      <c r="I338" s="9"/>
      <c r="J338" s="1"/>
      <c r="K338" s="9"/>
    </row>
    <row r="339" spans="1:11" ht="20.25">
      <c r="A339" s="215" t="s">
        <v>527</v>
      </c>
      <c r="B339" s="31"/>
      <c r="C339" s="31"/>
      <c r="D339" s="31"/>
      <c r="E339" s="31"/>
      <c r="F339" s="10"/>
      <c r="G339" s="10"/>
      <c r="H339" s="10"/>
      <c r="I339" s="10"/>
      <c r="J339" s="10"/>
      <c r="K339" s="10"/>
    </row>
    <row r="340" spans="1:11" ht="15">
      <c r="A340" s="294"/>
      <c r="B340" s="294"/>
      <c r="C340" s="295"/>
      <c r="D340" s="259" t="str">
        <f>CONCATENATE(IF('Perpetual Pricing'!$J$2="Standard",HLOOKUP($U$1,Phrasing!A:A,48,FALSE),IF('Perpetual Pricing'!$J$2="Gov/Edu/NonProfit",HLOOKUP($U$1,Phrasing!A:A,49,FALSE),"???"))," - ",$J$3,, " - ",VLOOKUP($J$3,PARTNERPROGRAM!$U$5:$V$9,2,FALSE))</f>
        <v>Standard Pricing - Non Partner - SRP</v>
      </c>
      <c r="E340" s="259"/>
      <c r="F340" s="259"/>
      <c r="G340" s="259"/>
      <c r="H340" s="260"/>
      <c r="I340" s="260"/>
      <c r="J340" s="259"/>
      <c r="K340" s="259"/>
    </row>
    <row r="341" spans="1:11" ht="23.25" customHeight="1">
      <c r="A341" s="295"/>
      <c r="B341" s="295"/>
      <c r="C341" s="295"/>
      <c r="D341" s="281" t="str">
        <f>HLOOKUP($U$1,Phrasing!A:A,40,FALSE)</f>
        <v>New</v>
      </c>
      <c r="E341" s="281"/>
      <c r="F341" s="282" t="str">
        <f>HLOOKUP($U$1,Phrasing!A:A,171,FALSE)</f>
        <v>Renewal</v>
      </c>
      <c r="G341" s="282"/>
      <c r="H341" s="283" t="s">
        <v>177</v>
      </c>
      <c r="I341" s="283"/>
      <c r="J341" s="284" t="s">
        <v>178</v>
      </c>
      <c r="K341" s="284"/>
    </row>
    <row r="342" spans="1:11">
      <c r="A342" s="257" t="s">
        <v>103</v>
      </c>
      <c r="B342" s="257"/>
      <c r="C342" s="257"/>
      <c r="D342" s="100" t="str">
        <f>CONCATENATE(HLOOKUP($U$1,Phrasing!A:A,46,FALSE),": ",VLOOKUP('Perpetual Pricing'!$J$1,XE!$A:$B,2,FALSE))</f>
        <v>Price: EUR</v>
      </c>
      <c r="E342" s="72" t="str">
        <f>HLOOKUP($U$1,Phrasing!A:A,43,FALSE)</f>
        <v>Part Number</v>
      </c>
      <c r="F342" s="72" t="s">
        <v>12</v>
      </c>
      <c r="G342" s="72" t="str">
        <f>HLOOKUP($U$1,Phrasing!A:A,43,FALSE)</f>
        <v>Part Number</v>
      </c>
      <c r="H342" s="72" t="s">
        <v>12</v>
      </c>
      <c r="I342" s="72" t="str">
        <f>HLOOKUP($U$1,Phrasing!A:A,43,FALSE)</f>
        <v>Part Number</v>
      </c>
      <c r="J342" s="99" t="s">
        <v>12</v>
      </c>
      <c r="K342" s="72" t="str">
        <f>HLOOKUP($U$1,Phrasing!A:A,43,FALSE)</f>
        <v>Part Number</v>
      </c>
    </row>
    <row r="343" spans="1:11">
      <c r="A343" s="301" t="s">
        <v>439</v>
      </c>
      <c r="B343" s="301"/>
      <c r="C343" s="301"/>
      <c r="D343" s="85" t="str">
        <f>IF('Perpetual Pricing'!$J$1 ="Japanese Yen",TEXT(2000,VLOOKUP('Perpetual Pricing'!$J$1,XE!$A:$G,7,FALSE)), TEXT(ROUND(BASE!D342*VLOOKUP('Perpetual Pricing'!$J$1,XE!$A:$F,6,FALSE),VLOOKUP('Perpetual Pricing'!$J$1,XE!$A:$H,8,FALSE)),VLOOKUP('Perpetual Pricing'!$J$1,XE!$A:$G,7,FALSE)))</f>
        <v>3,9900</v>
      </c>
      <c r="E343" s="42" t="str">
        <f>CONCATENATE(LEFT(BASE!E342,6),VLOOKUP('Perpetual Pricing'!$J$1,XE!$A:$C,3,FALSE),MID(BASE!E342,9,1),IF('Perpetual Pricing'!$J$2="SRP","S","S"),RIGHT(BASE!E342,7))</f>
        <v>SSPS50EUXS0100ZZZ</v>
      </c>
      <c r="F343" s="302" t="s">
        <v>40</v>
      </c>
      <c r="G343" s="302"/>
      <c r="H343" s="302" t="s">
        <v>40</v>
      </c>
      <c r="I343" s="302"/>
      <c r="J343" s="287" t="s">
        <v>40</v>
      </c>
      <c r="K343" s="287"/>
    </row>
    <row r="344" spans="1:11">
      <c r="A344" s="301" t="s">
        <v>441</v>
      </c>
      <c r="B344" s="301"/>
      <c r="C344" s="301"/>
      <c r="D344" s="85" t="str">
        <f>IF('Perpetual Pricing'!$J$1 ="Japanese Yen",TEXT(2000,VLOOKUP('Perpetual Pricing'!$J$1,XE!$A:$G,7,FALSE)), TEXT(ROUND(BASE!D343*VLOOKUP('Perpetual Pricing'!$J$1,XE!$A:$F,6,FALSE),VLOOKUP('Perpetual Pricing'!$J$1,XE!$A:$H,8,FALSE)),VLOOKUP('Perpetual Pricing'!$J$1,XE!$A:$G,7,FALSE)))</f>
        <v>3,9900</v>
      </c>
      <c r="E344" s="42" t="str">
        <f>CONCATENATE(LEFT(BASE!E343,6),VLOOKUP('Perpetual Pricing'!$J$1,XE!$A:$C,3,FALSE),MID(BASE!E343,9,1),IF('Perpetual Pricing'!$J$2="SRP","S","S"),RIGHT(BASE!E343,7))</f>
        <v>DSPD50EUXS0100ZZZ</v>
      </c>
      <c r="F344" s="302"/>
      <c r="G344" s="302"/>
      <c r="H344" s="302"/>
      <c r="I344" s="302"/>
      <c r="J344" s="287"/>
      <c r="K344" s="287"/>
    </row>
    <row r="345" spans="1:11">
      <c r="A345" s="303" t="s">
        <v>443</v>
      </c>
      <c r="B345" s="303"/>
      <c r="C345" s="303"/>
      <c r="D345" s="85" t="str">
        <f>IF('Perpetual Pricing'!$J$1 ="Japanese Yen",TEXT(2000,VLOOKUP('Perpetual Pricing'!$J$1,XE!$A:$G,7,FALSE)), TEXT(ROUND(BASE!D344*VLOOKUP('Perpetual Pricing'!$J$1,XE!$A:$F,6,FALSE),VLOOKUP('Perpetual Pricing'!$J$1,XE!$A:$H,8,FALSE)),VLOOKUP('Perpetual Pricing'!$J$1,XE!$A:$G,7,FALSE)))</f>
        <v>3,9900</v>
      </c>
      <c r="E345" s="42" t="str">
        <f>CONCATENATE(LEFT(BASE!E344,6),VLOOKUP('Perpetual Pricing'!$J$1,XE!$A:$C,3,FALSE),MID(BASE!E344,9,1),IF('Perpetual Pricing'!$J$2="SRP","S","S"),RIGHT(BASE!E344,7))</f>
        <v>BSBS50EUXS0100ZZZ</v>
      </c>
      <c r="F345" s="302"/>
      <c r="G345" s="302"/>
      <c r="H345" s="302"/>
      <c r="I345" s="302"/>
      <c r="J345" s="287"/>
      <c r="K345" s="287"/>
    </row>
    <row r="346" spans="1:11">
      <c r="A346" s="303" t="s">
        <v>445</v>
      </c>
      <c r="B346" s="303"/>
      <c r="C346" s="303"/>
      <c r="D346" s="85" t="str">
        <f>IF('Perpetual Pricing'!$J$1 ="Japanese Yen",TEXT(2000,VLOOKUP('Perpetual Pricing'!$J$1,XE!$A:$G,7,FALSE)), TEXT(ROUND(BASE!D345*VLOOKUP('Perpetual Pricing'!$J$1,XE!$A:$F,6,FALSE),VLOOKUP('Perpetual Pricing'!$J$1,XE!$A:$H,8,FALSE)),VLOOKUP('Perpetual Pricing'!$J$1,XE!$A:$G,7,FALSE)))</f>
        <v>3,9900</v>
      </c>
      <c r="E346" s="42" t="str">
        <f>CONCATENATE(LEFT(BASE!E345,6),VLOOKUP('Perpetual Pricing'!$J$1,XE!$A:$C,3,FALSE),MID(BASE!E345,9,1),IF('Perpetual Pricing'!$J$2="SRP","S","S"),RIGHT(BASE!E345,7))</f>
        <v>GULM60EUXS0100ZZZ</v>
      </c>
      <c r="F346" s="302"/>
      <c r="G346" s="302"/>
      <c r="H346" s="302"/>
      <c r="I346" s="302"/>
      <c r="J346" s="287"/>
      <c r="K346" s="287"/>
    </row>
    <row r="347" spans="1:11">
      <c r="A347" s="7"/>
      <c r="B347" s="7"/>
      <c r="C347" s="8"/>
      <c r="D347" s="1"/>
      <c r="E347" s="9"/>
      <c r="F347" s="1"/>
      <c r="G347" s="9"/>
      <c r="H347" s="1"/>
      <c r="I347" s="9"/>
      <c r="J347" s="1"/>
      <c r="K347" s="9"/>
    </row>
    <row r="348" spans="1:11" ht="20.25">
      <c r="A348" s="215" t="s">
        <v>526</v>
      </c>
      <c r="B348" s="32"/>
      <c r="C348" s="32"/>
      <c r="D348" s="9"/>
      <c r="E348" s="9"/>
      <c r="F348" s="9"/>
      <c r="G348" s="9"/>
      <c r="H348" s="9"/>
      <c r="I348" s="9"/>
      <c r="J348" s="9"/>
      <c r="K348" s="13"/>
    </row>
    <row r="349" spans="1:11" ht="15.75" customHeight="1">
      <c r="A349" s="253" t="s">
        <v>2</v>
      </c>
      <c r="B349" s="253"/>
      <c r="C349" s="254"/>
      <c r="D349" s="259" t="str">
        <f>CONCATENATE(IF('Perpetual Pricing'!$J$2="Standard",HLOOKUP($U$1,Phrasing!A:A,48,FALSE),IF('Perpetual Pricing'!$J$2="Gov/Edu/NonProfit",HLOOKUP($U$1,Phrasing!A:A,49,FALSE),"???"))," - ",$J$3,, " - ",VLOOKUP($J$3,PARTNERPROGRAM!$U$5:$V$9,2,FALSE))</f>
        <v>Standard Pricing - Non Partner - SRP</v>
      </c>
      <c r="E349" s="259"/>
      <c r="F349" s="259"/>
      <c r="G349" s="259"/>
      <c r="H349" s="260"/>
      <c r="I349" s="260"/>
      <c r="J349" s="259"/>
      <c r="K349" s="259"/>
    </row>
    <row r="350" spans="1:11" ht="12.75" customHeight="1">
      <c r="A350" s="253"/>
      <c r="B350" s="253"/>
      <c r="C350" s="254"/>
      <c r="D350" s="235" t="str">
        <f>HLOOKUP($U$1,Phrasing!A:A,40,FALSE)</f>
        <v>New</v>
      </c>
      <c r="E350" s="236"/>
      <c r="F350" s="237" t="str">
        <f>HLOOKUP($U$1,Phrasing!A:A,158,FALSE)</f>
        <v>Upgrade</v>
      </c>
      <c r="G350" s="238"/>
      <c r="H350" s="230" t="str">
        <f>HLOOKUP($U$1,Phrasing!A:A,170,FALSE)</f>
        <v>1Yr Maintenance</v>
      </c>
      <c r="I350" s="231"/>
      <c r="J350" s="239" t="s">
        <v>178</v>
      </c>
      <c r="K350" s="240"/>
    </row>
    <row r="351" spans="1:11">
      <c r="A351" s="253"/>
      <c r="B351" s="253"/>
      <c r="C351" s="254"/>
      <c r="D351" s="243" t="str">
        <f>HLOOKUP($U$1,Phrasing!A:A,23,FALSE)</f>
        <v>Includes one year of Maintenance</v>
      </c>
      <c r="E351" s="244"/>
      <c r="F351" s="245" t="str">
        <f>HLOOKUP($U$1,Phrasing!A:A,23,FALSE)</f>
        <v>Includes one year of Maintenance</v>
      </c>
      <c r="G351" s="246"/>
      <c r="H351" s="228" t="str">
        <f>HLOOKUP($U$1,Phrasing!A:A,171,FALSE)</f>
        <v>Renewal</v>
      </c>
      <c r="I351" s="229"/>
      <c r="J351" s="241"/>
      <c r="K351" s="242"/>
    </row>
    <row r="352" spans="1:11">
      <c r="A352" s="211" t="str">
        <f>HLOOKUP($U$1,Phrasing!A:A,50,FALSE)</f>
        <v>Quantity</v>
      </c>
      <c r="B352" s="268" t="str">
        <f>HLOOKUP($U$1,Phrasing!A:A,18,FALSE)</f>
        <v>Discount Level</v>
      </c>
      <c r="C352" s="268"/>
      <c r="D352" s="100" t="str">
        <f>CONCATENATE(HLOOKUP($U$1,Phrasing!A:A,46,FALSE),": ",VLOOKUP('Perpetual Pricing'!$J$1,XE!$A:$B,2,FALSE))</f>
        <v>Price: EUR</v>
      </c>
      <c r="E352" s="75" t="str">
        <f>HLOOKUP($U$1,Phrasing!A:A,43,FALSE)</f>
        <v>Part Number</v>
      </c>
      <c r="F352" s="100" t="str">
        <f>CONCATENATE(HLOOKUP($U$1,Phrasing!A:A,46,FALSE),": ",VLOOKUP('Perpetual Pricing'!$J$1,XE!$A:$B,2,FALSE))</f>
        <v>Price: EUR</v>
      </c>
      <c r="G352" s="75" t="str">
        <f>HLOOKUP($U$1,Phrasing!A:A,43,FALSE)</f>
        <v>Part Number</v>
      </c>
      <c r="H352" s="100" t="str">
        <f>CONCATENATE(HLOOKUP($U$1,Phrasing!A:A,46,FALSE),": ",VLOOKUP('Perpetual Pricing'!$J$1,XE!$A:$B,2,FALSE))</f>
        <v>Price: EUR</v>
      </c>
      <c r="I352" s="72" t="str">
        <f>HLOOKUP($U$1,Phrasing!A:A,43,FALSE)</f>
        <v>Part Number</v>
      </c>
      <c r="J352" s="100" t="str">
        <f>CONCATENATE(HLOOKUP($U$1,Phrasing!A:A,46,FALSE),": ",VLOOKUP('Perpetual Pricing'!$J$1,XE!$A:$B,2,FALSE))</f>
        <v>Price: EUR</v>
      </c>
      <c r="K352" s="75" t="str">
        <f>HLOOKUP($U$1,Phrasing!A:A,43,FALSE)</f>
        <v>Part Number</v>
      </c>
    </row>
    <row r="353" spans="1:11">
      <c r="A353" s="40" t="s">
        <v>555</v>
      </c>
      <c r="B353" s="269" t="s">
        <v>552</v>
      </c>
      <c r="C353" s="269"/>
      <c r="D353" s="85" t="str">
        <f>TEXT(ROUND(VLOOKUP('Perpetual Pricing'!$J$2,XE!$M$5:$N$6,2,FALSE)*BASE!D352*VLOOKUP('Perpetual Pricing'!$J$1,XE!$A:$F,6,FALSE)* (HLOOKUP($J$3,PARTNERPROGRAM!$D$7:$H$8,2,FALSE)),VLOOKUP('Perpetual Pricing'!$J$1,XE!$A:$H,8,FALSE)),VLOOKUP('Perpetual Pricing'!$J$1,XE!$A:$G,7,FALSE))</f>
        <v>238,8900</v>
      </c>
      <c r="E353" s="42" t="str">
        <f>CONCATENATE(LEFT(BASE!E352,6),VLOOKUP('Perpetual Pricing'!$J$1,XE!$A:$C,3,FALSE),MID(BASE!E352,9,1),IF('Perpetual Pricing'!$J$2="Standard","S","G"),RIGHT(BASE!E352,7))</f>
        <v>CSST70EUPS0100ZZN</v>
      </c>
      <c r="F353" s="85" t="str">
        <f>TEXT(ROUND(VLOOKUP('Perpetual Pricing'!$J$2,XE!$M$5:$N$6,2,FALSE)*BASE!F352*VLOOKUP('Perpetual Pricing'!$J$1,XE!$A:$F,6,FALSE)* (HLOOKUP($J$3,PARTNERPROGRAM!$D$7:$H$8,2,FALSE)),VLOOKUP('Perpetual Pricing'!$J$1,XE!$A:$H,8,FALSE)),VLOOKUP('Perpetual Pricing'!$J$1,XE!$A:$G,7,FALSE))</f>
        <v>119,4500</v>
      </c>
      <c r="G353" s="42" t="str">
        <f>CONCATENATE(LEFT(BASE!G352,6),VLOOKUP('Perpetual Pricing'!$J$1,XE!$A:$C,3,FALSE),MID(BASE!G352,9,1),IF('Perpetual Pricing'!$J$2="Standard","S","G"),RIGHT(BASE!G352,7))</f>
        <v>CSST70EUUS0100ZZN</v>
      </c>
      <c r="H353" s="85" t="str">
        <f>TEXT(ROUND(VLOOKUP('Perpetual Pricing'!$J$2,XE!$M$5:$N$6,2,FALSE)*BASE!H352*VLOOKUP('Perpetual Pricing'!$J$1,XE!$A:$F,6,FALSE)* (HLOOKUP($J$3,PARTNERPROGRAM!$D$7:$H$8,2,FALSE)),VLOOKUP('Perpetual Pricing'!$J$1,XE!$A:$H,8,FALSE)),VLOOKUP('Perpetual Pricing'!$J$1,XE!$A:$G,7,FALSE))</f>
        <v>47,7800</v>
      </c>
      <c r="I353" s="42" t="str">
        <f>CONCATENATE(LEFT(BASE!I352,6),VLOOKUP('Perpetual Pricing'!$J$1,XE!$A:$C,3,FALSE),MID(BASE!I352,9,1),IF('Perpetual Pricing'!$J$2="Standard","S","G"),RIGHT(BASE!I352,7))</f>
        <v>CSST70EUMS011YZZN</v>
      </c>
      <c r="J353" s="85" t="str">
        <f>TEXT(ROUND(VLOOKUP('Perpetual Pricing'!$J$2,XE!$M$5:$N$6,2,FALSE)*BASE!J352*VLOOKUP('Perpetual Pricing'!$J$1,XE!$A:$F,6,FALSE)* (HLOOKUP($J$3,PARTNERPROGRAM!$D$7:$H$8,2,FALSE)),VLOOKUP('Perpetual Pricing'!$J$1,XE!$A:$H,8,FALSE)),VLOOKUP('Perpetual Pricing'!$J$1,XE!$A:$G,7,FALSE))</f>
        <v>35,8300</v>
      </c>
      <c r="K353" s="42" t="str">
        <f>CONCATENATE(LEFT(BASE!K352,6),VLOOKUP('Perpetual Pricing'!$J$1,XE!$A:$C,3,FALSE),MID(BASE!K352,9,1),IF('Perpetual Pricing'!$J$2="Standard","S","G"),RIGHT(BASE!K352,7))</f>
        <v>CSST70EUSS011YZZN</v>
      </c>
    </row>
    <row r="354" spans="1:11">
      <c r="A354" s="40" t="s">
        <v>556</v>
      </c>
      <c r="B354" s="269" t="s">
        <v>553</v>
      </c>
      <c r="C354" s="269"/>
      <c r="D354" s="85" t="str">
        <f>TEXT(ROUND(VLOOKUP('Perpetual Pricing'!$J$2,XE!$M$5:$N$6,2,FALSE)*BASE!D353*VLOOKUP('Perpetual Pricing'!$J$1,XE!$A:$F,6,FALSE)* (HLOOKUP($J$3,PARTNERPROGRAM!$D$7:$H$8,2,FALSE)),VLOOKUP('Perpetual Pricing'!$J$1,XE!$A:$H,8,FALSE)),VLOOKUP('Perpetual Pricing'!$J$1,XE!$A:$G,7,FALSE))</f>
        <v>217,3900</v>
      </c>
      <c r="E354" s="42" t="str">
        <f>CONCATENATE(LEFT(BASE!E353,6),VLOOKUP('Perpetual Pricing'!$J$1,XE!$A:$C,3,FALSE),MID(BASE!E353,9,1),IF('Perpetual Pricing'!$J$2="Standard","S","G"),RIGHT(BASE!E353,7))</f>
        <v>CSST70EUPS0100ZZO</v>
      </c>
      <c r="F354" s="85" t="str">
        <f>TEXT(ROUND(VLOOKUP('Perpetual Pricing'!$J$2,XE!$M$5:$N$6,2,FALSE)*BASE!F353*VLOOKUP('Perpetual Pricing'!$J$1,XE!$A:$F,6,FALSE)* (HLOOKUP($J$3,PARTNERPROGRAM!$D$7:$H$8,2,FALSE)),VLOOKUP('Perpetual Pricing'!$J$1,XE!$A:$H,8,FALSE)),VLOOKUP('Perpetual Pricing'!$J$1,XE!$A:$G,7,FALSE))</f>
        <v>108,700</v>
      </c>
      <c r="G354" s="42" t="str">
        <f>CONCATENATE(LEFT(BASE!G353,6),VLOOKUP('Perpetual Pricing'!$J$1,XE!$A:$C,3,FALSE),MID(BASE!G353,9,1),IF('Perpetual Pricing'!$J$2="Standard","S","G"),RIGHT(BASE!G353,7))</f>
        <v>CSST70EUUS0100ZZO</v>
      </c>
      <c r="H354" s="85" t="str">
        <f>TEXT(ROUND(VLOOKUP('Perpetual Pricing'!$J$2,XE!$M$5:$N$6,2,FALSE)*BASE!H353*VLOOKUP('Perpetual Pricing'!$J$1,XE!$A:$F,6,FALSE)* (HLOOKUP($J$3,PARTNERPROGRAM!$D$7:$H$8,2,FALSE)),VLOOKUP('Perpetual Pricing'!$J$1,XE!$A:$H,8,FALSE)),VLOOKUP('Perpetual Pricing'!$J$1,XE!$A:$G,7,FALSE))</f>
        <v>43,4800</v>
      </c>
      <c r="I354" s="42" t="str">
        <f>CONCATENATE(LEFT(BASE!I353,6),VLOOKUP('Perpetual Pricing'!$J$1,XE!$A:$C,3,FALSE),MID(BASE!I353,9,1),IF('Perpetual Pricing'!$J$2="Standard","S","G"),RIGHT(BASE!I353,7))</f>
        <v>CSST70EUMS011YZZO</v>
      </c>
      <c r="J354" s="85" t="str">
        <f>TEXT(ROUND(VLOOKUP('Perpetual Pricing'!$J$2,XE!$M$5:$N$6,2,FALSE)*BASE!J353*VLOOKUP('Perpetual Pricing'!$J$1,XE!$A:$F,6,FALSE)* (HLOOKUP($J$3,PARTNERPROGRAM!$D$7:$H$8,2,FALSE)),VLOOKUP('Perpetual Pricing'!$J$1,XE!$A:$H,8,FALSE)),VLOOKUP('Perpetual Pricing'!$J$1,XE!$A:$G,7,FALSE))</f>
        <v>32,6100</v>
      </c>
      <c r="K354" s="42" t="str">
        <f>CONCATENATE(LEFT(BASE!K353,6),VLOOKUP('Perpetual Pricing'!$J$1,XE!$A:$C,3,FALSE),MID(BASE!K353,9,1),IF('Perpetual Pricing'!$J$2="Standard","S","G"),RIGHT(BASE!K353,7))</f>
        <v>CSST70EUSS011YZZO</v>
      </c>
    </row>
    <row r="355" spans="1:11">
      <c r="A355" s="40" t="s">
        <v>557</v>
      </c>
      <c r="B355" s="269" t="s">
        <v>554</v>
      </c>
      <c r="C355" s="269"/>
      <c r="D355" s="85" t="str">
        <f>TEXT(ROUND(VLOOKUP('Perpetual Pricing'!$J$2,XE!$M$5:$N$6,2,FALSE)*BASE!D354*VLOOKUP('Perpetual Pricing'!$J$1,XE!$A:$F,6,FALSE)* (HLOOKUP($J$3,PARTNERPROGRAM!$D$7:$H$8,2,FALSE)),VLOOKUP('Perpetual Pricing'!$J$1,XE!$A:$H,8,FALSE)),VLOOKUP('Perpetual Pricing'!$J$1,XE!$A:$G,7,FALSE))</f>
        <v>209,7500</v>
      </c>
      <c r="E355" s="42" t="str">
        <f>CONCATENATE(LEFT(BASE!E354,6),VLOOKUP('Perpetual Pricing'!$J$1,XE!$A:$C,3,FALSE),MID(BASE!E354,9,1),IF('Perpetual Pricing'!$J$2="Standard","S","G"),RIGHT(BASE!E354,7))</f>
        <v>CSST70EUPS0100ZZP</v>
      </c>
      <c r="F355" s="85" t="str">
        <f>TEXT(ROUND(VLOOKUP('Perpetual Pricing'!$J$2,XE!$M$5:$N$6,2,FALSE)*BASE!F354*VLOOKUP('Perpetual Pricing'!$J$1,XE!$A:$F,6,FALSE)* (HLOOKUP($J$3,PARTNERPROGRAM!$D$7:$H$8,2,FALSE)),VLOOKUP('Perpetual Pricing'!$J$1,XE!$A:$H,8,FALSE)),VLOOKUP('Perpetual Pricing'!$J$1,XE!$A:$G,7,FALSE))</f>
        <v>104,8700</v>
      </c>
      <c r="G355" s="42" t="str">
        <f>CONCATENATE(LEFT(BASE!G354,6),VLOOKUP('Perpetual Pricing'!$J$1,XE!$A:$C,3,FALSE),MID(BASE!G354,9,1),IF('Perpetual Pricing'!$J$2="Standard","S","G"),RIGHT(BASE!G354,7))</f>
        <v>CSST70EUUS0100ZZP</v>
      </c>
      <c r="H355" s="85" t="str">
        <f>TEXT(ROUND(VLOOKUP('Perpetual Pricing'!$J$2,XE!$M$5:$N$6,2,FALSE)*BASE!H354*VLOOKUP('Perpetual Pricing'!$J$1,XE!$A:$F,6,FALSE)* (HLOOKUP($J$3,PARTNERPROGRAM!$D$7:$H$8,2,FALSE)),VLOOKUP('Perpetual Pricing'!$J$1,XE!$A:$H,8,FALSE)),VLOOKUP('Perpetual Pricing'!$J$1,XE!$A:$G,7,FALSE))</f>
        <v>41,9500</v>
      </c>
      <c r="I355" s="42" t="str">
        <f>CONCATENATE(LEFT(BASE!I354,6),VLOOKUP('Perpetual Pricing'!$J$1,XE!$A:$C,3,FALSE),MID(BASE!I354,9,1),IF('Perpetual Pricing'!$J$2="Standard","S","G"),RIGHT(BASE!I354,7))</f>
        <v>CSST70EUMS011YZZP</v>
      </c>
      <c r="J355" s="85" t="str">
        <f>TEXT(ROUND(VLOOKUP('Perpetual Pricing'!$J$2,XE!$M$5:$N$6,2,FALSE)*BASE!J354*VLOOKUP('Perpetual Pricing'!$J$1,XE!$A:$F,6,FALSE)* (HLOOKUP($J$3,PARTNERPROGRAM!$D$7:$H$8,2,FALSE)),VLOOKUP('Perpetual Pricing'!$J$1,XE!$A:$H,8,FALSE)),VLOOKUP('Perpetual Pricing'!$J$1,XE!$A:$G,7,FALSE))</f>
        <v>31,4600</v>
      </c>
      <c r="K355" s="42" t="str">
        <f>CONCATENATE(LEFT(BASE!K354,6),VLOOKUP('Perpetual Pricing'!$J$1,XE!$A:$C,3,FALSE),MID(BASE!K354,9,1),IF('Perpetual Pricing'!$J$2="Standard","S","G"),RIGHT(BASE!K354,7))</f>
        <v>CSST70EUSS011YZZP</v>
      </c>
    </row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</sheetData>
  <sheetProtection formatColumns="0" formatRows="0" selectLockedCells="1" selectUnlockedCells="1"/>
  <mergeCells count="399">
    <mergeCell ref="A87:C87"/>
    <mergeCell ref="A256:C256"/>
    <mergeCell ref="B353:C353"/>
    <mergeCell ref="B354:C354"/>
    <mergeCell ref="B355:C355"/>
    <mergeCell ref="A349:C351"/>
    <mergeCell ref="B352:C352"/>
    <mergeCell ref="A4:D5"/>
    <mergeCell ref="D349:K349"/>
    <mergeCell ref="D350:E350"/>
    <mergeCell ref="F350:G350"/>
    <mergeCell ref="J350:K351"/>
    <mergeCell ref="D351:E351"/>
    <mergeCell ref="F351:G351"/>
    <mergeCell ref="A342:C342"/>
    <mergeCell ref="A343:C343"/>
    <mergeCell ref="F343:G346"/>
    <mergeCell ref="H343:I346"/>
    <mergeCell ref="J343:K346"/>
    <mergeCell ref="A344:C344"/>
    <mergeCell ref="A345:C345"/>
    <mergeCell ref="A346:C346"/>
    <mergeCell ref="H350:I350"/>
    <mergeCell ref="H351:I351"/>
    <mergeCell ref="A340:C341"/>
    <mergeCell ref="D340:K340"/>
    <mergeCell ref="D341:E341"/>
    <mergeCell ref="F341:G341"/>
    <mergeCell ref="H341:I341"/>
    <mergeCell ref="J341:K341"/>
    <mergeCell ref="A331:B331"/>
    <mergeCell ref="A332:B333"/>
    <mergeCell ref="F332:G336"/>
    <mergeCell ref="H332:I336"/>
    <mergeCell ref="J332:K336"/>
    <mergeCell ref="A334:B336"/>
    <mergeCell ref="A329:C330"/>
    <mergeCell ref="D329:K329"/>
    <mergeCell ref="D330:E330"/>
    <mergeCell ref="F330:G330"/>
    <mergeCell ref="H330:I330"/>
    <mergeCell ref="J330:K330"/>
    <mergeCell ref="A320:C320"/>
    <mergeCell ref="A321:C321"/>
    <mergeCell ref="A322:C322"/>
    <mergeCell ref="F322:G325"/>
    <mergeCell ref="H322:I325"/>
    <mergeCell ref="A323:C323"/>
    <mergeCell ref="A324:C324"/>
    <mergeCell ref="A325:C325"/>
    <mergeCell ref="J314:K314"/>
    <mergeCell ref="A316:C316"/>
    <mergeCell ref="A317:C317"/>
    <mergeCell ref="A318:C318"/>
    <mergeCell ref="F318:G319"/>
    <mergeCell ref="H318:I319"/>
    <mergeCell ref="A319:C319"/>
    <mergeCell ref="A304:C304"/>
    <mergeCell ref="A305:C305"/>
    <mergeCell ref="A306:C306"/>
    <mergeCell ref="A307:C307"/>
    <mergeCell ref="A309:K309"/>
    <mergeCell ref="A313:C315"/>
    <mergeCell ref="D313:K313"/>
    <mergeCell ref="D314:E314"/>
    <mergeCell ref="F314:G314"/>
    <mergeCell ref="H314:I314"/>
    <mergeCell ref="A298:C298"/>
    <mergeCell ref="A299:C299"/>
    <mergeCell ref="A300:C300"/>
    <mergeCell ref="A301:C301"/>
    <mergeCell ref="A302:C302"/>
    <mergeCell ref="A303:C303"/>
    <mergeCell ref="D294:K294"/>
    <mergeCell ref="D295:E295"/>
    <mergeCell ref="F295:G295"/>
    <mergeCell ref="J295:K296"/>
    <mergeCell ref="D296:E296"/>
    <mergeCell ref="F296:G296"/>
    <mergeCell ref="H295:I295"/>
    <mergeCell ref="H296:I296"/>
    <mergeCell ref="A294:C297"/>
    <mergeCell ref="A284:C284"/>
    <mergeCell ref="A285:C285"/>
    <mergeCell ref="A286:C286"/>
    <mergeCell ref="A287:C287"/>
    <mergeCell ref="A288:C288"/>
    <mergeCell ref="F288:G288"/>
    <mergeCell ref="A277:C277"/>
    <mergeCell ref="H277:I288"/>
    <mergeCell ref="J277:K288"/>
    <mergeCell ref="A278:C278"/>
    <mergeCell ref="A279:C279"/>
    <mergeCell ref="A280:C280"/>
    <mergeCell ref="A281:C281"/>
    <mergeCell ref="A282:C282"/>
    <mergeCell ref="F282:G282"/>
    <mergeCell ref="A283:C283"/>
    <mergeCell ref="A274:C276"/>
    <mergeCell ref="D274:K274"/>
    <mergeCell ref="D275:E275"/>
    <mergeCell ref="F275:G275"/>
    <mergeCell ref="H275:I275"/>
    <mergeCell ref="J275:K275"/>
    <mergeCell ref="B264:C264"/>
    <mergeCell ref="B265:C265"/>
    <mergeCell ref="F265:G268"/>
    <mergeCell ref="H265:I268"/>
    <mergeCell ref="J265:K268"/>
    <mergeCell ref="B266:C266"/>
    <mergeCell ref="B267:C267"/>
    <mergeCell ref="B268:C268"/>
    <mergeCell ref="A261:C263"/>
    <mergeCell ref="D261:K261"/>
    <mergeCell ref="D262:E262"/>
    <mergeCell ref="F262:G262"/>
    <mergeCell ref="J262:K263"/>
    <mergeCell ref="D263:E263"/>
    <mergeCell ref="F263:G263"/>
    <mergeCell ref="A248:C250"/>
    <mergeCell ref="D248:K248"/>
    <mergeCell ref="D249:E249"/>
    <mergeCell ref="F249:G249"/>
    <mergeCell ref="J249:K250"/>
    <mergeCell ref="D250:E250"/>
    <mergeCell ref="F250:G250"/>
    <mergeCell ref="H262:I262"/>
    <mergeCell ref="H263:I263"/>
    <mergeCell ref="D240:E240"/>
    <mergeCell ref="F240:G240"/>
    <mergeCell ref="A242:C242"/>
    <mergeCell ref="F242:G242"/>
    <mergeCell ref="H242:I242"/>
    <mergeCell ref="J242:K242"/>
    <mergeCell ref="F230:G230"/>
    <mergeCell ref="A232:C232"/>
    <mergeCell ref="A233:C233"/>
    <mergeCell ref="D233:E233"/>
    <mergeCell ref="A238:C241"/>
    <mergeCell ref="D238:K238"/>
    <mergeCell ref="D239:E239"/>
    <mergeCell ref="F239:G239"/>
    <mergeCell ref="J239:K240"/>
    <mergeCell ref="F218:G221"/>
    <mergeCell ref="H218:I221"/>
    <mergeCell ref="J218:K221"/>
    <mergeCell ref="A228:C231"/>
    <mergeCell ref="D228:K228"/>
    <mergeCell ref="D229:E229"/>
    <mergeCell ref="F229:G229"/>
    <mergeCell ref="J229:K230"/>
    <mergeCell ref="D230:E230"/>
    <mergeCell ref="A194:C194"/>
    <mergeCell ref="A196:K196"/>
    <mergeCell ref="A199:C201"/>
    <mergeCell ref="D199:K199"/>
    <mergeCell ref="D200:E200"/>
    <mergeCell ref="F200:G200"/>
    <mergeCell ref="A214:C216"/>
    <mergeCell ref="D214:K214"/>
    <mergeCell ref="D215:E215"/>
    <mergeCell ref="F215:G215"/>
    <mergeCell ref="J215:K216"/>
    <mergeCell ref="D216:E216"/>
    <mergeCell ref="F216:G216"/>
    <mergeCell ref="J200:K201"/>
    <mergeCell ref="D201:E201"/>
    <mergeCell ref="F201:G201"/>
    <mergeCell ref="A207:C207"/>
    <mergeCell ref="F207:G208"/>
    <mergeCell ref="H207:I208"/>
    <mergeCell ref="J207:K208"/>
    <mergeCell ref="A208:C208"/>
    <mergeCell ref="H200:I200"/>
    <mergeCell ref="H201:I201"/>
    <mergeCell ref="H215:I215"/>
    <mergeCell ref="D188:E188"/>
    <mergeCell ref="F188:G188"/>
    <mergeCell ref="J188:K189"/>
    <mergeCell ref="D189:E189"/>
    <mergeCell ref="F189:G189"/>
    <mergeCell ref="A191:C191"/>
    <mergeCell ref="A192:C192"/>
    <mergeCell ref="A193:C193"/>
    <mergeCell ref="A187:C190"/>
    <mergeCell ref="D187:K187"/>
    <mergeCell ref="H188:I188"/>
    <mergeCell ref="H189:I189"/>
    <mergeCell ref="F178:G180"/>
    <mergeCell ref="H178:I180"/>
    <mergeCell ref="J178:K180"/>
    <mergeCell ref="A179:C179"/>
    <mergeCell ref="A180:C180"/>
    <mergeCell ref="A169:K169"/>
    <mergeCell ref="A174:C177"/>
    <mergeCell ref="D174:K174"/>
    <mergeCell ref="D175:E175"/>
    <mergeCell ref="F175:G175"/>
    <mergeCell ref="J175:K176"/>
    <mergeCell ref="D176:E176"/>
    <mergeCell ref="F176:G176"/>
    <mergeCell ref="H175:I175"/>
    <mergeCell ref="H176:I176"/>
    <mergeCell ref="F164:G166"/>
    <mergeCell ref="H164:I166"/>
    <mergeCell ref="J164:K166"/>
    <mergeCell ref="A165:C165"/>
    <mergeCell ref="A166:C166"/>
    <mergeCell ref="A156:K156"/>
    <mergeCell ref="A160:C163"/>
    <mergeCell ref="D160:K160"/>
    <mergeCell ref="D161:E161"/>
    <mergeCell ref="F161:G161"/>
    <mergeCell ref="J161:K162"/>
    <mergeCell ref="D162:E162"/>
    <mergeCell ref="F162:G162"/>
    <mergeCell ref="D151:E154"/>
    <mergeCell ref="A152:C152"/>
    <mergeCell ref="A153:C153"/>
    <mergeCell ref="A154:C154"/>
    <mergeCell ref="A144:C147"/>
    <mergeCell ref="D144:K144"/>
    <mergeCell ref="D145:E145"/>
    <mergeCell ref="F145:G145"/>
    <mergeCell ref="J145:K146"/>
    <mergeCell ref="D146:E146"/>
    <mergeCell ref="F146:G146"/>
    <mergeCell ref="H145:I145"/>
    <mergeCell ref="H146:I146"/>
    <mergeCell ref="D136:E139"/>
    <mergeCell ref="A137:C137"/>
    <mergeCell ref="A138:C138"/>
    <mergeCell ref="A139:C139"/>
    <mergeCell ref="A141:K141"/>
    <mergeCell ref="J130:K131"/>
    <mergeCell ref="D131:E131"/>
    <mergeCell ref="F131:G131"/>
    <mergeCell ref="A133:C133"/>
    <mergeCell ref="A134:C134"/>
    <mergeCell ref="A135:C135"/>
    <mergeCell ref="F122:G123"/>
    <mergeCell ref="H122:I123"/>
    <mergeCell ref="J122:K123"/>
    <mergeCell ref="A123:C123"/>
    <mergeCell ref="A129:C132"/>
    <mergeCell ref="D129:K129"/>
    <mergeCell ref="D130:E130"/>
    <mergeCell ref="F130:G130"/>
    <mergeCell ref="H130:I130"/>
    <mergeCell ref="H131:I131"/>
    <mergeCell ref="D118:K118"/>
    <mergeCell ref="D119:E119"/>
    <mergeCell ref="F119:G119"/>
    <mergeCell ref="J119:K120"/>
    <mergeCell ref="D120:E120"/>
    <mergeCell ref="F120:G120"/>
    <mergeCell ref="A109:C109"/>
    <mergeCell ref="A110:C110"/>
    <mergeCell ref="A111:C111"/>
    <mergeCell ref="F111:G111"/>
    <mergeCell ref="H111:I111"/>
    <mergeCell ref="J111:K111"/>
    <mergeCell ref="H119:I119"/>
    <mergeCell ref="H120:I120"/>
    <mergeCell ref="D105:K105"/>
    <mergeCell ref="D106:E106"/>
    <mergeCell ref="F106:G106"/>
    <mergeCell ref="J106:K107"/>
    <mergeCell ref="D107:E107"/>
    <mergeCell ref="F107:G107"/>
    <mergeCell ref="B95:C95"/>
    <mergeCell ref="B96:C96"/>
    <mergeCell ref="F96:G99"/>
    <mergeCell ref="H96:I99"/>
    <mergeCell ref="J96:K99"/>
    <mergeCell ref="B97:C97"/>
    <mergeCell ref="B98:C98"/>
    <mergeCell ref="B99:C99"/>
    <mergeCell ref="H106:I106"/>
    <mergeCell ref="H107:I107"/>
    <mergeCell ref="A79:C81"/>
    <mergeCell ref="D79:K79"/>
    <mergeCell ref="D80:E80"/>
    <mergeCell ref="F80:G80"/>
    <mergeCell ref="J80:K81"/>
    <mergeCell ref="D81:E81"/>
    <mergeCell ref="F81:G81"/>
    <mergeCell ref="H80:I80"/>
    <mergeCell ref="H81:I81"/>
    <mergeCell ref="J71:K72"/>
    <mergeCell ref="D72:E72"/>
    <mergeCell ref="F72:G72"/>
    <mergeCell ref="F74:G74"/>
    <mergeCell ref="H74:I74"/>
    <mergeCell ref="J74:K74"/>
    <mergeCell ref="D63:E63"/>
    <mergeCell ref="F63:G63"/>
    <mergeCell ref="A65:C65"/>
    <mergeCell ref="A66:C66"/>
    <mergeCell ref="D66:E66"/>
    <mergeCell ref="A70:C73"/>
    <mergeCell ref="D70:K70"/>
    <mergeCell ref="D71:E71"/>
    <mergeCell ref="F71:G71"/>
    <mergeCell ref="A61:C64"/>
    <mergeCell ref="D61:K61"/>
    <mergeCell ref="D62:E62"/>
    <mergeCell ref="F62:G62"/>
    <mergeCell ref="J62:K63"/>
    <mergeCell ref="H71:I71"/>
    <mergeCell ref="H72:I72"/>
    <mergeCell ref="B37:C37"/>
    <mergeCell ref="B38:C38"/>
    <mergeCell ref="B39:C39"/>
    <mergeCell ref="B40:C40"/>
    <mergeCell ref="B41:C41"/>
    <mergeCell ref="F52:G55"/>
    <mergeCell ref="H52:I55"/>
    <mergeCell ref="J52:K55"/>
    <mergeCell ref="F50:G50"/>
    <mergeCell ref="F38:G41"/>
    <mergeCell ref="H38:I41"/>
    <mergeCell ref="J38:K41"/>
    <mergeCell ref="A48:C50"/>
    <mergeCell ref="D48:K48"/>
    <mergeCell ref="D49:E49"/>
    <mergeCell ref="F49:G49"/>
    <mergeCell ref="J49:K50"/>
    <mergeCell ref="D50:E50"/>
    <mergeCell ref="A11:C13"/>
    <mergeCell ref="D11:K11"/>
    <mergeCell ref="D12:E12"/>
    <mergeCell ref="F12:G12"/>
    <mergeCell ref="J12:K13"/>
    <mergeCell ref="D13:E13"/>
    <mergeCell ref="F13:G13"/>
    <mergeCell ref="A34:C36"/>
    <mergeCell ref="D34:K34"/>
    <mergeCell ref="D35:E35"/>
    <mergeCell ref="F35:G35"/>
    <mergeCell ref="J35:K36"/>
    <mergeCell ref="D36:E36"/>
    <mergeCell ref="F36:G36"/>
    <mergeCell ref="A22:C24"/>
    <mergeCell ref="D22:K22"/>
    <mergeCell ref="D23:E23"/>
    <mergeCell ref="F23:G23"/>
    <mergeCell ref="J23:K24"/>
    <mergeCell ref="F24:G24"/>
    <mergeCell ref="H12:I12"/>
    <mergeCell ref="D24:E24"/>
    <mergeCell ref="B217:C217"/>
    <mergeCell ref="B218:C218"/>
    <mergeCell ref="B219:C219"/>
    <mergeCell ref="B220:C220"/>
    <mergeCell ref="B221:C221"/>
    <mergeCell ref="B51:C51"/>
    <mergeCell ref="B52:C52"/>
    <mergeCell ref="B53:C53"/>
    <mergeCell ref="B54:C54"/>
    <mergeCell ref="B55:C55"/>
    <mergeCell ref="A92:C94"/>
    <mergeCell ref="A105:C107"/>
    <mergeCell ref="A118:C120"/>
    <mergeCell ref="A122:C122"/>
    <mergeCell ref="A136:C136"/>
    <mergeCell ref="A148:C148"/>
    <mergeCell ref="A149:C149"/>
    <mergeCell ref="A150:C150"/>
    <mergeCell ref="A151:C151"/>
    <mergeCell ref="A164:C164"/>
    <mergeCell ref="A178:C178"/>
    <mergeCell ref="A183:K183"/>
    <mergeCell ref="H161:I161"/>
    <mergeCell ref="H162:I162"/>
    <mergeCell ref="H216:I216"/>
    <mergeCell ref="H229:I229"/>
    <mergeCell ref="H230:I230"/>
    <mergeCell ref="H239:I239"/>
    <mergeCell ref="H240:I240"/>
    <mergeCell ref="H249:I249"/>
    <mergeCell ref="H250:I250"/>
    <mergeCell ref="H13:I13"/>
    <mergeCell ref="H23:I23"/>
    <mergeCell ref="H24:I24"/>
    <mergeCell ref="H35:I35"/>
    <mergeCell ref="H36:I36"/>
    <mergeCell ref="H49:I49"/>
    <mergeCell ref="H50:I50"/>
    <mergeCell ref="H62:I62"/>
    <mergeCell ref="H63:I63"/>
    <mergeCell ref="D92:K92"/>
    <mergeCell ref="D93:E93"/>
    <mergeCell ref="F93:G93"/>
    <mergeCell ref="J93:K94"/>
    <mergeCell ref="D94:E94"/>
    <mergeCell ref="F94:G94"/>
    <mergeCell ref="H93:I93"/>
    <mergeCell ref="H94:I94"/>
  </mergeCells>
  <pageMargins left="0.25" right="0.25" top="0.75" bottom="0.75" header="0.3" footer="0.3"/>
  <pageSetup scale="48" fitToHeight="0" orientation="portrait" r:id="rId1"/>
  <headerFooter alignWithMargins="0"/>
  <rowBreaks count="4" manualBreakCount="4">
    <brk id="89" max="10" man="1"/>
    <brk id="185" max="10" man="1"/>
    <brk id="272" max="10" man="1"/>
    <brk id="327" max="10" man="1"/>
  </rowBreaks>
  <ignoredErrors>
    <ignoredError sqref="I14 G14 E14 E25 G25 I2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>
          <x14:formula1>
            <xm:f>XE!$M$5:$M$6</xm:f>
          </x14:formula1>
          <xm:sqref>J2</xm:sqref>
        </x14:dataValidation>
        <x14:dataValidation type="list" showInputMessage="1" showErrorMessage="1">
          <x14:formula1>
            <xm:f>Phrasing!$A$1:$B$1</xm:f>
          </x14:formula1>
          <xm:sqref>U1</xm:sqref>
        </x14:dataValidation>
        <x14:dataValidation type="list" allowBlank="1" showInputMessage="1" showErrorMessage="1">
          <x14:formula1>
            <xm:f>PARTNERPROGRAM!$D$7:$H$7</xm:f>
          </x14:formula1>
          <xm:sqref>J3</xm:sqref>
        </x14:dataValidation>
        <x14:dataValidation type="list" allowBlank="1" showInputMessage="1" showErrorMessage="1">
          <x14:formula1>
            <xm:f>XE!$A$3:$A$5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23287"/>
  <sheetViews>
    <sheetView topLeftCell="A76" workbookViewId="0">
      <selection activeCell="C8" sqref="C8"/>
    </sheetView>
  </sheetViews>
  <sheetFormatPr baseColWidth="10" defaultColWidth="9.140625" defaultRowHeight="12.75"/>
  <cols>
    <col min="1" max="1" width="22.7109375" style="105" customWidth="1"/>
    <col min="2" max="2" width="28" style="105" customWidth="1"/>
    <col min="3" max="3" width="24.85546875" style="105" customWidth="1"/>
    <col min="4" max="4" width="12.140625" style="105" customWidth="1"/>
    <col min="5" max="5" width="22.28515625" style="105" customWidth="1"/>
    <col min="6" max="6" width="12.42578125" style="105" customWidth="1"/>
    <col min="7" max="7" width="22.28515625" style="105" customWidth="1"/>
    <col min="8" max="8" width="12.42578125" style="105" customWidth="1"/>
    <col min="9" max="9" width="22.28515625" style="105" customWidth="1"/>
    <col min="10" max="10" width="12.42578125" style="105" customWidth="1"/>
    <col min="11" max="11" width="22.28515625" style="105" customWidth="1"/>
    <col min="12" max="12" width="20.28515625" style="105" bestFit="1" customWidth="1"/>
    <col min="13" max="13" width="6.28515625" style="105" bestFit="1" customWidth="1"/>
    <col min="14" max="16384" width="9.140625" style="105"/>
  </cols>
  <sheetData>
    <row r="1" spans="1:13" ht="1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>
        <f>XE!M3</f>
        <v>42917</v>
      </c>
    </row>
    <row r="2" spans="1:13" ht="15">
      <c r="A2" s="108"/>
      <c r="B2" s="108"/>
      <c r="C2" s="108"/>
      <c r="D2" s="108"/>
      <c r="E2" s="108" t="s">
        <v>486</v>
      </c>
      <c r="F2" s="108"/>
      <c r="G2" s="108"/>
      <c r="H2" s="108"/>
      <c r="I2" s="108"/>
      <c r="J2" s="108"/>
      <c r="K2" s="108"/>
      <c r="L2" s="106" t="s">
        <v>503</v>
      </c>
      <c r="M2" s="107">
        <v>0.09</v>
      </c>
    </row>
    <row r="3" spans="1:13" ht="1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M3" s="107">
        <v>0.23300000000000001</v>
      </c>
    </row>
    <row r="4" spans="1:13" ht="1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M4" s="107">
        <v>0.377</v>
      </c>
    </row>
    <row r="5" spans="1:13" ht="1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13" ht="15">
      <c r="A6" s="108"/>
      <c r="B6" s="108"/>
      <c r="C6" s="109"/>
      <c r="D6" s="110"/>
      <c r="E6" s="108"/>
      <c r="F6" s="110"/>
      <c r="G6" s="108"/>
      <c r="H6" s="110"/>
      <c r="I6" s="108"/>
      <c r="J6" s="110"/>
      <c r="K6" s="108"/>
    </row>
    <row r="7" spans="1:13" ht="15">
      <c r="A7" s="108"/>
      <c r="B7" s="108"/>
      <c r="C7" s="109"/>
      <c r="D7" s="110"/>
      <c r="E7" s="108"/>
      <c r="F7" s="110"/>
      <c r="G7" s="108"/>
      <c r="H7" s="110"/>
      <c r="I7" s="108"/>
      <c r="J7" s="110"/>
      <c r="K7" s="108"/>
    </row>
    <row r="8" spans="1:13" ht="15">
      <c r="A8" s="108"/>
      <c r="B8" s="108"/>
      <c r="C8" s="109"/>
      <c r="D8" s="110"/>
      <c r="E8" s="108"/>
      <c r="F8" s="110"/>
      <c r="G8" s="108"/>
      <c r="H8" s="110"/>
      <c r="I8" s="108"/>
      <c r="J8" s="110"/>
      <c r="K8" s="108"/>
    </row>
    <row r="9" spans="1:13" ht="15">
      <c r="A9" s="111"/>
      <c r="B9" s="108"/>
      <c r="C9" s="109"/>
      <c r="D9" s="110"/>
      <c r="E9" s="108"/>
      <c r="F9" s="110"/>
      <c r="G9" s="108"/>
      <c r="H9" s="110"/>
      <c r="I9" s="108"/>
      <c r="J9" s="110"/>
      <c r="K9" s="108"/>
    </row>
    <row r="10" spans="1:13" ht="15">
      <c r="A10" s="111" t="s">
        <v>44</v>
      </c>
      <c r="B10" s="111"/>
      <c r="C10" s="111"/>
      <c r="D10" s="112"/>
      <c r="E10" s="108"/>
      <c r="F10" s="110"/>
      <c r="G10" s="108"/>
      <c r="H10" s="110"/>
      <c r="I10" s="108"/>
      <c r="J10" s="110"/>
      <c r="K10" s="113"/>
    </row>
    <row r="11" spans="1:13" ht="15.75" customHeight="1">
      <c r="A11" s="340" t="e">
        <f>#REF!</f>
        <v>#REF!</v>
      </c>
      <c r="B11" s="340"/>
      <c r="C11" s="341"/>
      <c r="D11" s="304"/>
      <c r="E11" s="304"/>
      <c r="F11" s="304"/>
      <c r="G11" s="304"/>
      <c r="H11" s="305"/>
      <c r="I11" s="305"/>
      <c r="J11" s="304"/>
      <c r="K11" s="304"/>
    </row>
    <row r="12" spans="1:13" ht="12.75" customHeight="1">
      <c r="A12" s="340"/>
      <c r="B12" s="340"/>
      <c r="C12" s="341"/>
      <c r="D12" s="306" t="s">
        <v>4</v>
      </c>
      <c r="E12" s="307"/>
      <c r="F12" s="306" t="s">
        <v>5</v>
      </c>
      <c r="G12" s="307"/>
      <c r="H12" s="308" t="s">
        <v>6</v>
      </c>
      <c r="I12" s="309"/>
      <c r="J12" s="313" t="s">
        <v>7</v>
      </c>
      <c r="K12" s="314"/>
    </row>
    <row r="13" spans="1:13" ht="15">
      <c r="A13" s="342"/>
      <c r="B13" s="342"/>
      <c r="C13" s="343"/>
      <c r="D13" s="310"/>
      <c r="E13" s="311"/>
      <c r="F13" s="310"/>
      <c r="G13" s="311"/>
      <c r="H13" s="308"/>
      <c r="I13" s="309"/>
      <c r="J13" s="315"/>
      <c r="K13" s="316"/>
    </row>
    <row r="14" spans="1:13" ht="30">
      <c r="A14" s="114" t="s">
        <v>9</v>
      </c>
      <c r="B14" s="114" t="s">
        <v>10</v>
      </c>
      <c r="C14" s="114" t="s">
        <v>11</v>
      </c>
      <c r="D14" s="115" t="s">
        <v>12</v>
      </c>
      <c r="E14" s="116" t="s">
        <v>13</v>
      </c>
      <c r="F14" s="115" t="s">
        <v>12</v>
      </c>
      <c r="G14" s="116" t="s">
        <v>13</v>
      </c>
      <c r="H14" s="117" t="s">
        <v>12</v>
      </c>
      <c r="I14" s="114" t="s">
        <v>13</v>
      </c>
      <c r="J14" s="115" t="s">
        <v>12</v>
      </c>
      <c r="K14" s="116" t="s">
        <v>13</v>
      </c>
    </row>
    <row r="15" spans="1:13" ht="15">
      <c r="A15" s="118" t="s">
        <v>14</v>
      </c>
      <c r="B15" s="119" t="s">
        <v>15</v>
      </c>
      <c r="C15" s="120">
        <v>0</v>
      </c>
      <c r="D15" s="121">
        <f>D202</f>
        <v>1095</v>
      </c>
      <c r="E15" s="122" t="s">
        <v>45</v>
      </c>
      <c r="F15" s="121">
        <f>F202</f>
        <v>547.5</v>
      </c>
      <c r="G15" s="122" t="s">
        <v>46</v>
      </c>
      <c r="H15" s="121">
        <f>H202</f>
        <v>219</v>
      </c>
      <c r="I15" s="122" t="s">
        <v>47</v>
      </c>
      <c r="J15" s="121">
        <f>J202</f>
        <v>164.25</v>
      </c>
      <c r="K15" s="122" t="s">
        <v>48</v>
      </c>
    </row>
    <row r="16" spans="1:13" ht="15">
      <c r="A16" s="118" t="s">
        <v>20</v>
      </c>
      <c r="B16" s="119" t="s">
        <v>21</v>
      </c>
      <c r="C16" s="123">
        <f>$M$2</f>
        <v>0.09</v>
      </c>
      <c r="D16" s="121">
        <f>D203</f>
        <v>996.45</v>
      </c>
      <c r="E16" s="122" t="s">
        <v>49</v>
      </c>
      <c r="F16" s="121">
        <f>F203</f>
        <v>498.23</v>
      </c>
      <c r="G16" s="122" t="s">
        <v>50</v>
      </c>
      <c r="H16" s="121">
        <f>H203</f>
        <v>199.29</v>
      </c>
      <c r="I16" s="122" t="s">
        <v>51</v>
      </c>
      <c r="J16" s="121">
        <f>J203</f>
        <v>149.47</v>
      </c>
      <c r="K16" s="122" t="s">
        <v>52</v>
      </c>
    </row>
    <row r="17" spans="1:11" ht="15">
      <c r="A17" s="118" t="s">
        <v>26</v>
      </c>
      <c r="B17" s="119" t="s">
        <v>27</v>
      </c>
      <c r="C17" s="123">
        <f>$M$3</f>
        <v>0.23300000000000001</v>
      </c>
      <c r="D17" s="121">
        <f>D204</f>
        <v>839.86500000000001</v>
      </c>
      <c r="E17" s="122" t="s">
        <v>53</v>
      </c>
      <c r="F17" s="121">
        <f>F204</f>
        <v>419.93</v>
      </c>
      <c r="G17" s="122" t="s">
        <v>54</v>
      </c>
      <c r="H17" s="121">
        <f>H204</f>
        <v>167.97</v>
      </c>
      <c r="I17" s="122" t="s">
        <v>55</v>
      </c>
      <c r="J17" s="121">
        <f>J204</f>
        <v>125.98</v>
      </c>
      <c r="K17" s="122" t="s">
        <v>56</v>
      </c>
    </row>
    <row r="18" spans="1:11" ht="15">
      <c r="A18" s="124" t="s">
        <v>32</v>
      </c>
      <c r="B18" s="119" t="s">
        <v>33</v>
      </c>
      <c r="C18" s="123">
        <f>$M$4</f>
        <v>0.377</v>
      </c>
      <c r="D18" s="121">
        <f>D205</f>
        <v>682.18499999999995</v>
      </c>
      <c r="E18" s="122" t="s">
        <v>57</v>
      </c>
      <c r="F18" s="121">
        <f>F205</f>
        <v>341.09</v>
      </c>
      <c r="G18" s="122" t="s">
        <v>58</v>
      </c>
      <c r="H18" s="121">
        <f>H205</f>
        <v>136.44</v>
      </c>
      <c r="I18" s="122" t="s">
        <v>59</v>
      </c>
      <c r="J18" s="121">
        <f>J205</f>
        <v>102.33</v>
      </c>
      <c r="K18" s="122" t="s">
        <v>60</v>
      </c>
    </row>
    <row r="19" spans="1:11" ht="15">
      <c r="A19" s="111" t="s">
        <v>468</v>
      </c>
      <c r="B19" s="125"/>
      <c r="C19" s="125"/>
      <c r="D19" s="126"/>
      <c r="E19" s="127"/>
      <c r="F19" s="128"/>
      <c r="G19" s="128"/>
      <c r="H19" s="128"/>
      <c r="I19" s="128"/>
      <c r="J19" s="128"/>
      <c r="K19" s="128"/>
    </row>
    <row r="20" spans="1:11" ht="15">
      <c r="A20" s="111"/>
      <c r="B20" s="125"/>
      <c r="C20" s="125"/>
      <c r="D20" s="126"/>
      <c r="E20" s="127"/>
      <c r="F20" s="128"/>
      <c r="G20" s="128"/>
      <c r="H20" s="128"/>
      <c r="I20" s="128"/>
      <c r="J20" s="128"/>
      <c r="K20" s="128"/>
    </row>
    <row r="21" spans="1:11" ht="15">
      <c r="A21" s="111" t="s">
        <v>61</v>
      </c>
      <c r="B21" s="111"/>
      <c r="C21" s="111"/>
      <c r="D21" s="112"/>
      <c r="E21" s="108"/>
      <c r="F21" s="110"/>
      <c r="G21" s="108"/>
      <c r="H21" s="110"/>
      <c r="I21" s="108"/>
      <c r="J21" s="110"/>
      <c r="K21" s="113"/>
    </row>
    <row r="22" spans="1:11" ht="15.75" customHeight="1">
      <c r="A22" s="340" t="e">
        <f>#REF!</f>
        <v>#REF!</v>
      </c>
      <c r="B22" s="340"/>
      <c r="C22" s="341"/>
      <c r="D22" s="304"/>
      <c r="E22" s="304"/>
      <c r="F22" s="304"/>
      <c r="G22" s="304"/>
      <c r="H22" s="305"/>
      <c r="I22" s="305"/>
      <c r="J22" s="304"/>
      <c r="K22" s="304"/>
    </row>
    <row r="23" spans="1:11" ht="12.75" customHeight="1">
      <c r="A23" s="340"/>
      <c r="B23" s="340"/>
      <c r="C23" s="341"/>
      <c r="D23" s="306" t="s">
        <v>4</v>
      </c>
      <c r="E23" s="307"/>
      <c r="F23" s="306" t="s">
        <v>5</v>
      </c>
      <c r="G23" s="307"/>
      <c r="H23" s="308" t="s">
        <v>6</v>
      </c>
      <c r="I23" s="309"/>
      <c r="J23" s="313" t="s">
        <v>7</v>
      </c>
      <c r="K23" s="314"/>
    </row>
    <row r="24" spans="1:11" ht="15">
      <c r="A24" s="342"/>
      <c r="B24" s="342"/>
      <c r="C24" s="343"/>
      <c r="D24" s="310" t="s">
        <v>8</v>
      </c>
      <c r="E24" s="311"/>
      <c r="F24" s="310" t="s">
        <v>8</v>
      </c>
      <c r="G24" s="311"/>
      <c r="H24" s="308"/>
      <c r="I24" s="309"/>
      <c r="J24" s="315"/>
      <c r="K24" s="316"/>
    </row>
    <row r="25" spans="1:11" ht="30">
      <c r="A25" s="114" t="s">
        <v>9</v>
      </c>
      <c r="B25" s="114" t="s">
        <v>10</v>
      </c>
      <c r="C25" s="114" t="s">
        <v>11</v>
      </c>
      <c r="D25" s="115" t="s">
        <v>12</v>
      </c>
      <c r="E25" s="116" t="s">
        <v>13</v>
      </c>
      <c r="F25" s="115" t="s">
        <v>12</v>
      </c>
      <c r="G25" s="116" t="s">
        <v>13</v>
      </c>
      <c r="H25" s="117" t="s">
        <v>12</v>
      </c>
      <c r="I25" s="114" t="s">
        <v>13</v>
      </c>
      <c r="J25" s="115" t="s">
        <v>12</v>
      </c>
      <c r="K25" s="116" t="s">
        <v>13</v>
      </c>
    </row>
    <row r="26" spans="1:11" ht="15">
      <c r="A26" s="118" t="s">
        <v>14</v>
      </c>
      <c r="B26" s="119" t="s">
        <v>15</v>
      </c>
      <c r="C26" s="120">
        <v>0</v>
      </c>
      <c r="D26" s="121">
        <v>1095</v>
      </c>
      <c r="E26" s="122" t="s">
        <v>62</v>
      </c>
      <c r="F26" s="121">
        <f>ROUND(D26*0.5,2)</f>
        <v>547.5</v>
      </c>
      <c r="G26" s="122" t="s">
        <v>63</v>
      </c>
      <c r="H26" s="121">
        <f>ROUND(D26*0.2,2)</f>
        <v>219</v>
      </c>
      <c r="I26" s="122" t="s">
        <v>64</v>
      </c>
      <c r="J26" s="121">
        <f>ROUND(D26*0.15,2)</f>
        <v>164.25</v>
      </c>
      <c r="K26" s="122" t="s">
        <v>65</v>
      </c>
    </row>
    <row r="27" spans="1:11" ht="15">
      <c r="A27" s="118" t="s">
        <v>20</v>
      </c>
      <c r="B27" s="119" t="s">
        <v>21</v>
      </c>
      <c r="C27" s="123">
        <f>$M$2</f>
        <v>0.09</v>
      </c>
      <c r="D27" s="121">
        <f>D$202*(1-C27)</f>
        <v>996.45</v>
      </c>
      <c r="E27" s="122" t="s">
        <v>66</v>
      </c>
      <c r="F27" s="121">
        <f>ROUND(D27*0.5,2)</f>
        <v>498.23</v>
      </c>
      <c r="G27" s="122" t="s">
        <v>67</v>
      </c>
      <c r="H27" s="121">
        <f>ROUND(D27*0.2,2)</f>
        <v>199.29</v>
      </c>
      <c r="I27" s="122" t="s">
        <v>68</v>
      </c>
      <c r="J27" s="121">
        <f>ROUND(D27*0.15,2)</f>
        <v>149.47</v>
      </c>
      <c r="K27" s="122" t="s">
        <v>69</v>
      </c>
    </row>
    <row r="28" spans="1:11" ht="15">
      <c r="A28" s="118" t="s">
        <v>26</v>
      </c>
      <c r="B28" s="119" t="s">
        <v>27</v>
      </c>
      <c r="C28" s="123">
        <f>$M$3</f>
        <v>0.23300000000000001</v>
      </c>
      <c r="D28" s="121">
        <f>D$202*(1-C28)</f>
        <v>839.86500000000001</v>
      </c>
      <c r="E28" s="122" t="s">
        <v>70</v>
      </c>
      <c r="F28" s="121">
        <f>ROUND(D28*0.5,2)</f>
        <v>419.93</v>
      </c>
      <c r="G28" s="122" t="s">
        <v>71</v>
      </c>
      <c r="H28" s="121">
        <f>ROUND(D28*0.2,2)</f>
        <v>167.97</v>
      </c>
      <c r="I28" s="122" t="s">
        <v>72</v>
      </c>
      <c r="J28" s="121">
        <f>ROUND(D28*0.15,2)</f>
        <v>125.98</v>
      </c>
      <c r="K28" s="122" t="s">
        <v>73</v>
      </c>
    </row>
    <row r="29" spans="1:11" ht="15">
      <c r="A29" s="124" t="s">
        <v>32</v>
      </c>
      <c r="B29" s="119" t="s">
        <v>33</v>
      </c>
      <c r="C29" s="123">
        <f>$M$4</f>
        <v>0.377</v>
      </c>
      <c r="D29" s="121">
        <f>D$202*(1-C29)</f>
        <v>682.18499999999995</v>
      </c>
      <c r="E29" s="122" t="s">
        <v>74</v>
      </c>
      <c r="F29" s="121">
        <f>ROUND(D29*0.5,2)</f>
        <v>341.09</v>
      </c>
      <c r="G29" s="122" t="s">
        <v>75</v>
      </c>
      <c r="H29" s="121">
        <f>ROUND(D29*0.2,2)</f>
        <v>136.44</v>
      </c>
      <c r="I29" s="122" t="s">
        <v>76</v>
      </c>
      <c r="J29" s="121">
        <f>ROUND(D29*0.15,2)</f>
        <v>102.33</v>
      </c>
      <c r="K29" s="122" t="s">
        <v>77</v>
      </c>
    </row>
    <row r="30" spans="1:11" ht="15">
      <c r="A30" s="111" t="s">
        <v>468</v>
      </c>
      <c r="B30" s="125"/>
      <c r="C30" s="125"/>
      <c r="D30" s="126"/>
      <c r="E30" s="127"/>
      <c r="F30" s="128"/>
      <c r="G30" s="128"/>
      <c r="H30" s="128"/>
      <c r="I30" s="128"/>
      <c r="J30" s="128"/>
      <c r="K30" s="128"/>
    </row>
    <row r="31" spans="1:11" ht="15">
      <c r="A31" s="111"/>
      <c r="B31" s="125"/>
      <c r="C31" s="125"/>
      <c r="D31" s="126"/>
      <c r="E31" s="127"/>
      <c r="F31" s="128"/>
      <c r="G31" s="128"/>
      <c r="H31" s="128"/>
      <c r="I31" s="128"/>
      <c r="J31" s="128"/>
      <c r="K31" s="128"/>
    </row>
    <row r="32" spans="1:11" ht="15">
      <c r="A32" s="111" t="s">
        <v>92</v>
      </c>
      <c r="B32" s="111"/>
      <c r="C32" s="111"/>
      <c r="D32" s="110"/>
      <c r="E32" s="108"/>
      <c r="F32" s="110"/>
      <c r="G32" s="108"/>
      <c r="H32" s="110"/>
      <c r="I32" s="108"/>
      <c r="J32" s="110"/>
      <c r="K32" s="108"/>
    </row>
    <row r="33" spans="1:11" ht="15">
      <c r="A33" s="111" t="s">
        <v>79</v>
      </c>
      <c r="B33" s="111"/>
      <c r="C33" s="111"/>
      <c r="D33" s="110"/>
      <c r="E33" s="108"/>
      <c r="F33" s="110"/>
      <c r="G33" s="108"/>
      <c r="H33" s="110"/>
      <c r="I33" s="108"/>
      <c r="J33" s="110"/>
      <c r="K33" s="113"/>
    </row>
    <row r="34" spans="1:11" ht="15.75" customHeight="1">
      <c r="A34" s="340"/>
      <c r="B34" s="340"/>
      <c r="C34" s="341"/>
      <c r="D34" s="304"/>
      <c r="E34" s="304"/>
      <c r="F34" s="304"/>
      <c r="G34" s="304"/>
      <c r="H34" s="305"/>
      <c r="I34" s="305"/>
      <c r="J34" s="304"/>
      <c r="K34" s="304"/>
    </row>
    <row r="35" spans="1:11" ht="12.75" customHeight="1">
      <c r="A35" s="340"/>
      <c r="B35" s="340"/>
      <c r="C35" s="341"/>
      <c r="D35" s="306" t="s">
        <v>4</v>
      </c>
      <c r="E35" s="307"/>
      <c r="F35" s="306" t="s">
        <v>5</v>
      </c>
      <c r="G35" s="307"/>
      <c r="H35" s="308" t="s">
        <v>6</v>
      </c>
      <c r="I35" s="309"/>
      <c r="J35" s="313" t="s">
        <v>7</v>
      </c>
      <c r="K35" s="314"/>
    </row>
    <row r="36" spans="1:11" ht="15">
      <c r="A36" s="342"/>
      <c r="B36" s="342"/>
      <c r="C36" s="343"/>
      <c r="D36" s="310" t="s">
        <v>8</v>
      </c>
      <c r="E36" s="311"/>
      <c r="F36" s="310" t="s">
        <v>8</v>
      </c>
      <c r="G36" s="311"/>
      <c r="H36" s="308"/>
      <c r="I36" s="309"/>
      <c r="J36" s="315"/>
      <c r="K36" s="316"/>
    </row>
    <row r="37" spans="1:11" ht="30">
      <c r="A37" s="114" t="s">
        <v>81</v>
      </c>
      <c r="B37" s="114" t="s">
        <v>10</v>
      </c>
      <c r="C37" s="114"/>
      <c r="D37" s="115" t="s">
        <v>12</v>
      </c>
      <c r="E37" s="116" t="s">
        <v>13</v>
      </c>
      <c r="F37" s="115" t="s">
        <v>12</v>
      </c>
      <c r="G37" s="116" t="s">
        <v>13</v>
      </c>
      <c r="H37" s="115" t="s">
        <v>12</v>
      </c>
      <c r="I37" s="114" t="s">
        <v>13</v>
      </c>
      <c r="J37" s="115" t="s">
        <v>12</v>
      </c>
      <c r="K37" s="116" t="s">
        <v>13</v>
      </c>
    </row>
    <row r="38" spans="1:11" ht="15">
      <c r="A38" s="119" t="s">
        <v>14</v>
      </c>
      <c r="B38" s="119" t="s">
        <v>15</v>
      </c>
      <c r="C38" s="120"/>
      <c r="D38" s="121"/>
      <c r="E38" s="122" t="s">
        <v>93</v>
      </c>
      <c r="F38" s="322" t="s">
        <v>84</v>
      </c>
      <c r="G38" s="322"/>
      <c r="H38" s="345" t="s">
        <v>85</v>
      </c>
      <c r="I38" s="347"/>
      <c r="J38" s="345" t="s">
        <v>86</v>
      </c>
      <c r="K38" s="347"/>
    </row>
    <row r="39" spans="1:11" ht="15">
      <c r="A39" s="124" t="s">
        <v>20</v>
      </c>
      <c r="B39" s="119" t="s">
        <v>21</v>
      </c>
      <c r="C39" s="123"/>
      <c r="D39" s="121"/>
      <c r="E39" s="122" t="s">
        <v>94</v>
      </c>
      <c r="F39" s="322"/>
      <c r="G39" s="322"/>
      <c r="H39" s="347"/>
      <c r="I39" s="347"/>
      <c r="J39" s="347"/>
      <c r="K39" s="347"/>
    </row>
    <row r="40" spans="1:11" ht="15">
      <c r="A40" s="124" t="s">
        <v>26</v>
      </c>
      <c r="B40" s="119" t="s">
        <v>27</v>
      </c>
      <c r="C40" s="123"/>
      <c r="D40" s="121"/>
      <c r="E40" s="122" t="s">
        <v>95</v>
      </c>
      <c r="F40" s="322"/>
      <c r="G40" s="322"/>
      <c r="H40" s="347"/>
      <c r="I40" s="347"/>
      <c r="J40" s="347"/>
      <c r="K40" s="347"/>
    </row>
    <row r="41" spans="1:11" ht="15">
      <c r="A41" s="124" t="s">
        <v>32</v>
      </c>
      <c r="B41" s="119" t="s">
        <v>33</v>
      </c>
      <c r="C41" s="123"/>
      <c r="D41" s="121"/>
      <c r="E41" s="122" t="s">
        <v>96</v>
      </c>
      <c r="F41" s="322"/>
      <c r="G41" s="322"/>
      <c r="H41" s="347"/>
      <c r="I41" s="347"/>
      <c r="J41" s="347"/>
      <c r="K41" s="347"/>
    </row>
    <row r="42" spans="1:11" ht="15">
      <c r="A42" s="111" t="s">
        <v>90</v>
      </c>
      <c r="B42" s="127"/>
      <c r="C42" s="129"/>
      <c r="D42" s="126"/>
      <c r="E42" s="130"/>
      <c r="F42" s="131"/>
      <c r="G42" s="131"/>
      <c r="H42" s="132"/>
      <c r="I42" s="132"/>
      <c r="J42" s="132"/>
      <c r="K42" s="132"/>
    </row>
    <row r="43" spans="1:11" ht="15">
      <c r="A43" s="111" t="s">
        <v>91</v>
      </c>
      <c r="B43" s="108"/>
      <c r="C43" s="109"/>
      <c r="D43" s="110"/>
      <c r="E43" s="108"/>
      <c r="F43" s="110"/>
      <c r="G43" s="108"/>
      <c r="H43" s="110"/>
      <c r="I43" s="108"/>
      <c r="J43" s="110"/>
      <c r="K43" s="108"/>
    </row>
    <row r="44" spans="1:11" ht="15">
      <c r="A44" s="111"/>
      <c r="B44" s="108"/>
      <c r="C44" s="109"/>
      <c r="D44" s="110"/>
      <c r="E44" s="108"/>
      <c r="F44" s="110"/>
      <c r="G44" s="108"/>
      <c r="H44" s="110"/>
      <c r="I44" s="108"/>
      <c r="J44" s="110"/>
      <c r="K44" s="108"/>
    </row>
    <row r="45" spans="1:11" ht="15">
      <c r="A45" s="111" t="s">
        <v>97</v>
      </c>
      <c r="B45" s="111"/>
      <c r="C45" s="111"/>
      <c r="D45" s="110"/>
      <c r="E45" s="108"/>
      <c r="F45" s="110"/>
      <c r="G45" s="108"/>
      <c r="H45" s="110"/>
      <c r="I45" s="108"/>
      <c r="J45" s="110"/>
      <c r="K45" s="108"/>
    </row>
    <row r="46" spans="1:11" ht="15">
      <c r="A46" s="111" t="s">
        <v>79</v>
      </c>
      <c r="B46" s="111"/>
      <c r="C46" s="111"/>
      <c r="D46" s="110"/>
      <c r="E46" s="108"/>
      <c r="F46" s="110"/>
      <c r="G46" s="108"/>
      <c r="H46" s="110"/>
      <c r="I46" s="108"/>
      <c r="J46" s="110"/>
      <c r="K46" s="113"/>
    </row>
    <row r="47" spans="1:11" ht="15.75" customHeight="1">
      <c r="A47" s="340" t="str">
        <f>A61</f>
        <v>First year of maintenance is included in the purchase price.  *Premium Support requires an active Maintenance Agreement.</v>
      </c>
      <c r="B47" s="340"/>
      <c r="C47" s="341"/>
      <c r="D47" s="304"/>
      <c r="E47" s="304"/>
      <c r="F47" s="304"/>
      <c r="G47" s="304"/>
      <c r="H47" s="305"/>
      <c r="I47" s="305"/>
      <c r="J47" s="304"/>
      <c r="K47" s="304"/>
    </row>
    <row r="48" spans="1:11" ht="12.75" customHeight="1">
      <c r="A48" s="340"/>
      <c r="B48" s="340"/>
      <c r="C48" s="341"/>
      <c r="D48" s="306" t="s">
        <v>4</v>
      </c>
      <c r="E48" s="307"/>
      <c r="F48" s="306" t="s">
        <v>5</v>
      </c>
      <c r="G48" s="307"/>
      <c r="H48" s="308" t="s">
        <v>6</v>
      </c>
      <c r="I48" s="309"/>
      <c r="J48" s="313" t="s">
        <v>7</v>
      </c>
      <c r="K48" s="314"/>
    </row>
    <row r="49" spans="1:11" ht="12.75" customHeight="1">
      <c r="A49" s="340"/>
      <c r="B49" s="340"/>
      <c r="C49" s="341"/>
      <c r="D49" s="133"/>
      <c r="E49" s="134"/>
      <c r="F49" s="133"/>
      <c r="G49" s="134"/>
      <c r="H49" s="308"/>
      <c r="I49" s="309"/>
      <c r="J49" s="349"/>
      <c r="K49" s="350"/>
    </row>
    <row r="50" spans="1:11" ht="15">
      <c r="A50" s="342"/>
      <c r="B50" s="342"/>
      <c r="C50" s="343"/>
      <c r="D50" s="310" t="s">
        <v>8</v>
      </c>
      <c r="E50" s="311"/>
      <c r="F50" s="310" t="s">
        <v>8</v>
      </c>
      <c r="G50" s="311"/>
      <c r="H50" s="308"/>
      <c r="I50" s="309"/>
      <c r="J50" s="315"/>
      <c r="K50" s="316"/>
    </row>
    <row r="51" spans="1:11" ht="30">
      <c r="A51" s="114" t="s">
        <v>81</v>
      </c>
      <c r="B51" s="114" t="s">
        <v>10</v>
      </c>
      <c r="C51" s="114"/>
      <c r="D51" s="115" t="s">
        <v>12</v>
      </c>
      <c r="E51" s="116" t="s">
        <v>13</v>
      </c>
      <c r="F51" s="115" t="s">
        <v>12</v>
      </c>
      <c r="G51" s="116" t="s">
        <v>13</v>
      </c>
      <c r="H51" s="115" t="s">
        <v>12</v>
      </c>
      <c r="I51" s="114" t="s">
        <v>13</v>
      </c>
      <c r="J51" s="115" t="s">
        <v>12</v>
      </c>
      <c r="K51" s="116" t="s">
        <v>13</v>
      </c>
    </row>
    <row r="52" spans="1:11" ht="15">
      <c r="A52" s="119" t="s">
        <v>14</v>
      </c>
      <c r="B52" s="119" t="s">
        <v>15</v>
      </c>
      <c r="C52" s="120"/>
      <c r="D52" s="121"/>
      <c r="E52" s="122" t="s">
        <v>98</v>
      </c>
      <c r="F52" s="322" t="s">
        <v>84</v>
      </c>
      <c r="G52" s="322"/>
      <c r="H52" s="345" t="s">
        <v>85</v>
      </c>
      <c r="I52" s="347"/>
      <c r="J52" s="345" t="s">
        <v>86</v>
      </c>
      <c r="K52" s="347"/>
    </row>
    <row r="53" spans="1:11" ht="15">
      <c r="A53" s="124" t="s">
        <v>20</v>
      </c>
      <c r="B53" s="119" t="s">
        <v>21</v>
      </c>
      <c r="C53" s="123"/>
      <c r="D53" s="121"/>
      <c r="E53" s="122" t="s">
        <v>99</v>
      </c>
      <c r="F53" s="322"/>
      <c r="G53" s="322"/>
      <c r="H53" s="347"/>
      <c r="I53" s="347"/>
      <c r="J53" s="347"/>
      <c r="K53" s="347"/>
    </row>
    <row r="54" spans="1:11" ht="15">
      <c r="A54" s="124" t="s">
        <v>26</v>
      </c>
      <c r="B54" s="119" t="s">
        <v>27</v>
      </c>
      <c r="C54" s="123"/>
      <c r="D54" s="121"/>
      <c r="E54" s="122" t="s">
        <v>100</v>
      </c>
      <c r="F54" s="322"/>
      <c r="G54" s="322"/>
      <c r="H54" s="347"/>
      <c r="I54" s="347"/>
      <c r="J54" s="347"/>
      <c r="K54" s="347"/>
    </row>
    <row r="55" spans="1:11" ht="15">
      <c r="A55" s="124" t="s">
        <v>32</v>
      </c>
      <c r="B55" s="119" t="s">
        <v>33</v>
      </c>
      <c r="C55" s="123"/>
      <c r="D55" s="121"/>
      <c r="E55" s="122" t="s">
        <v>101</v>
      </c>
      <c r="F55" s="322"/>
      <c r="G55" s="322"/>
      <c r="H55" s="347"/>
      <c r="I55" s="347"/>
      <c r="J55" s="347"/>
      <c r="K55" s="347"/>
    </row>
    <row r="56" spans="1:11" ht="15">
      <c r="A56" s="111" t="s">
        <v>90</v>
      </c>
      <c r="B56" s="127"/>
      <c r="C56" s="129"/>
      <c r="D56" s="126"/>
      <c r="E56" s="130"/>
      <c r="F56" s="131"/>
      <c r="G56" s="131"/>
      <c r="H56" s="132"/>
      <c r="I56" s="132"/>
      <c r="J56" s="132"/>
      <c r="K56" s="132"/>
    </row>
    <row r="57" spans="1:11" ht="15">
      <c r="A57" s="111" t="s">
        <v>91</v>
      </c>
      <c r="B57" s="108"/>
      <c r="C57" s="109"/>
      <c r="D57" s="110"/>
      <c r="E57" s="108"/>
      <c r="F57" s="110"/>
      <c r="G57" s="108"/>
      <c r="H57" s="110"/>
      <c r="I57" s="108"/>
      <c r="J57" s="110"/>
      <c r="K57" s="108"/>
    </row>
    <row r="58" spans="1:11" ht="15">
      <c r="A58" s="111"/>
      <c r="B58" s="108"/>
      <c r="C58" s="109"/>
      <c r="D58" s="110"/>
      <c r="E58" s="108"/>
      <c r="F58" s="110"/>
      <c r="G58" s="108"/>
      <c r="H58" s="110"/>
      <c r="I58" s="108"/>
      <c r="J58" s="110"/>
      <c r="K58" s="108"/>
    </row>
    <row r="59" spans="1:11" ht="15">
      <c r="A59" s="111"/>
      <c r="B59" s="108"/>
      <c r="C59" s="109"/>
      <c r="D59" s="110"/>
      <c r="E59" s="108"/>
      <c r="F59" s="110"/>
      <c r="G59" s="108"/>
      <c r="H59" s="110"/>
      <c r="I59" s="108"/>
      <c r="J59" s="110"/>
      <c r="K59" s="108"/>
    </row>
    <row r="60" spans="1:11" ht="15">
      <c r="A60" s="111" t="s">
        <v>119</v>
      </c>
      <c r="B60" s="111"/>
      <c r="C60" s="111"/>
      <c r="D60" s="112"/>
      <c r="E60" s="108"/>
      <c r="F60" s="110"/>
      <c r="G60" s="108"/>
      <c r="H60" s="110"/>
      <c r="I60" s="108"/>
      <c r="J60" s="110"/>
      <c r="K60" s="113"/>
    </row>
    <row r="61" spans="1:11" ht="15.75" customHeight="1">
      <c r="A61" s="340" t="s">
        <v>2</v>
      </c>
      <c r="B61" s="340"/>
      <c r="C61" s="341"/>
      <c r="D61" s="304" t="s">
        <v>3</v>
      </c>
      <c r="E61" s="304"/>
      <c r="F61" s="304"/>
      <c r="G61" s="304"/>
      <c r="H61" s="305"/>
      <c r="I61" s="305"/>
      <c r="J61" s="304"/>
      <c r="K61" s="304"/>
    </row>
    <row r="62" spans="1:11" ht="12.75" customHeight="1">
      <c r="A62" s="340"/>
      <c r="B62" s="340"/>
      <c r="C62" s="341"/>
      <c r="D62" s="306" t="s">
        <v>4</v>
      </c>
      <c r="E62" s="307"/>
      <c r="F62" s="306" t="s">
        <v>5</v>
      </c>
      <c r="G62" s="307"/>
      <c r="H62" s="308" t="s">
        <v>6</v>
      </c>
      <c r="I62" s="309"/>
      <c r="J62" s="313" t="s">
        <v>7</v>
      </c>
      <c r="K62" s="314"/>
    </row>
    <row r="63" spans="1:11" ht="15">
      <c r="A63" s="340"/>
      <c r="B63" s="340"/>
      <c r="C63" s="341"/>
      <c r="D63" s="310" t="s">
        <v>8</v>
      </c>
      <c r="E63" s="311"/>
      <c r="F63" s="310" t="s">
        <v>8</v>
      </c>
      <c r="G63" s="311"/>
      <c r="H63" s="308"/>
      <c r="I63" s="309"/>
      <c r="J63" s="315"/>
      <c r="K63" s="316"/>
    </row>
    <row r="64" spans="1:11" ht="15">
      <c r="A64" s="342"/>
      <c r="B64" s="342"/>
      <c r="C64" s="343"/>
      <c r="D64" s="115" t="s">
        <v>12</v>
      </c>
      <c r="E64" s="116" t="s">
        <v>13</v>
      </c>
      <c r="F64" s="115" t="s">
        <v>12</v>
      </c>
      <c r="G64" s="116" t="s">
        <v>13</v>
      </c>
      <c r="H64" s="117" t="s">
        <v>12</v>
      </c>
      <c r="I64" s="114" t="s">
        <v>13</v>
      </c>
      <c r="J64" s="115" t="s">
        <v>12</v>
      </c>
      <c r="K64" s="116" t="s">
        <v>13</v>
      </c>
    </row>
    <row r="65" spans="1:11" ht="15">
      <c r="A65" s="328" t="s">
        <v>120</v>
      </c>
      <c r="B65" s="329"/>
      <c r="C65" s="330"/>
      <c r="D65" s="135">
        <v>549</v>
      </c>
      <c r="E65" s="119" t="s">
        <v>121</v>
      </c>
      <c r="F65" s="121">
        <f>ROUND(D65*0.5,2)</f>
        <v>274.5</v>
      </c>
      <c r="G65" s="119" t="s">
        <v>122</v>
      </c>
      <c r="H65" s="135">
        <f>D65*0.2</f>
        <v>109.80000000000001</v>
      </c>
      <c r="I65" s="119" t="s">
        <v>123</v>
      </c>
      <c r="J65" s="121">
        <f>ROUND(D65*0.15,2)</f>
        <v>82.35</v>
      </c>
      <c r="K65" s="119" t="s">
        <v>124</v>
      </c>
    </row>
    <row r="66" spans="1:11" ht="15">
      <c r="A66" s="328" t="s">
        <v>125</v>
      </c>
      <c r="B66" s="329"/>
      <c r="C66" s="330"/>
      <c r="D66" s="346" t="s">
        <v>40</v>
      </c>
      <c r="E66" s="346"/>
      <c r="F66" s="121">
        <v>822</v>
      </c>
      <c r="G66" s="119" t="s">
        <v>126</v>
      </c>
      <c r="H66" s="135">
        <v>265.95999999999998</v>
      </c>
      <c r="I66" s="119" t="s">
        <v>127</v>
      </c>
      <c r="J66" s="135">
        <v>199.47</v>
      </c>
      <c r="K66" s="119" t="s">
        <v>128</v>
      </c>
    </row>
    <row r="67" spans="1:11" ht="15">
      <c r="A67" s="136"/>
      <c r="B67" s="111"/>
      <c r="C67" s="111"/>
      <c r="D67" s="137"/>
      <c r="E67" s="127"/>
      <c r="F67" s="126"/>
      <c r="G67" s="127"/>
      <c r="H67" s="137"/>
      <c r="I67" s="127"/>
      <c r="J67" s="137"/>
      <c r="K67" s="127"/>
    </row>
    <row r="68" spans="1:11" ht="15">
      <c r="A68" s="111" t="s">
        <v>119</v>
      </c>
      <c r="B68" s="108"/>
      <c r="C68" s="109"/>
      <c r="D68" s="110"/>
      <c r="E68" s="108"/>
      <c r="F68" s="110"/>
      <c r="G68" s="108"/>
      <c r="H68" s="110"/>
      <c r="I68" s="108"/>
      <c r="J68" s="110"/>
      <c r="K68" s="108"/>
    </row>
    <row r="69" spans="1:11" ht="15">
      <c r="A69" s="111" t="s">
        <v>114</v>
      </c>
      <c r="B69" s="111"/>
      <c r="C69" s="111"/>
      <c r="D69" s="112"/>
      <c r="E69" s="108"/>
      <c r="F69" s="110"/>
      <c r="G69" s="108"/>
      <c r="H69" s="110"/>
      <c r="I69" s="108"/>
      <c r="J69" s="110"/>
      <c r="K69" s="113"/>
    </row>
    <row r="70" spans="1:11" ht="15.75" customHeight="1">
      <c r="A70" s="340" t="str">
        <f>+$A$198</f>
        <v>First year of maintenance is included in the purchase price.  *Premium Support requires an active Maintenance Agreement.</v>
      </c>
      <c r="B70" s="340"/>
      <c r="C70" s="341"/>
      <c r="D70" s="304" t="s">
        <v>80</v>
      </c>
      <c r="E70" s="304"/>
      <c r="F70" s="304"/>
      <c r="G70" s="304"/>
      <c r="H70" s="305"/>
      <c r="I70" s="305"/>
      <c r="J70" s="304"/>
      <c r="K70" s="304"/>
    </row>
    <row r="71" spans="1:11" ht="12.75" customHeight="1">
      <c r="A71" s="340"/>
      <c r="B71" s="340"/>
      <c r="C71" s="341"/>
      <c r="D71" s="306" t="s">
        <v>4</v>
      </c>
      <c r="E71" s="307"/>
      <c r="F71" s="306" t="s">
        <v>5</v>
      </c>
      <c r="G71" s="307"/>
      <c r="H71" s="308" t="s">
        <v>6</v>
      </c>
      <c r="I71" s="309"/>
      <c r="J71" s="313" t="s">
        <v>7</v>
      </c>
      <c r="K71" s="314"/>
    </row>
    <row r="72" spans="1:11" ht="15">
      <c r="A72" s="340"/>
      <c r="B72" s="340"/>
      <c r="C72" s="341"/>
      <c r="D72" s="310" t="s">
        <v>8</v>
      </c>
      <c r="E72" s="311"/>
      <c r="F72" s="310" t="s">
        <v>8</v>
      </c>
      <c r="G72" s="311"/>
      <c r="H72" s="308"/>
      <c r="I72" s="309"/>
      <c r="J72" s="315"/>
      <c r="K72" s="316"/>
    </row>
    <row r="73" spans="1:11" ht="15">
      <c r="A73" s="342"/>
      <c r="B73" s="342"/>
      <c r="C73" s="343"/>
      <c r="D73" s="115" t="s">
        <v>12</v>
      </c>
      <c r="E73" s="116" t="s">
        <v>13</v>
      </c>
      <c r="F73" s="115" t="s">
        <v>12</v>
      </c>
      <c r="G73" s="116" t="s">
        <v>13</v>
      </c>
      <c r="H73" s="117" t="s">
        <v>12</v>
      </c>
      <c r="I73" s="114" t="s">
        <v>13</v>
      </c>
      <c r="J73" s="115" t="s">
        <v>12</v>
      </c>
      <c r="K73" s="116" t="s">
        <v>13</v>
      </c>
    </row>
    <row r="74" spans="1:11" ht="15">
      <c r="A74" s="138" t="s">
        <v>120</v>
      </c>
      <c r="B74" s="139"/>
      <c r="C74" s="139"/>
      <c r="D74" s="140"/>
      <c r="E74" s="141" t="s">
        <v>129</v>
      </c>
      <c r="F74" s="345" t="s">
        <v>116</v>
      </c>
      <c r="G74" s="345"/>
      <c r="H74" s="345" t="s">
        <v>117</v>
      </c>
      <c r="I74" s="345"/>
      <c r="J74" s="345" t="s">
        <v>118</v>
      </c>
      <c r="K74" s="345"/>
    </row>
    <row r="75" spans="1:11" ht="15">
      <c r="A75" s="111" t="s">
        <v>90</v>
      </c>
      <c r="B75" s="111"/>
      <c r="C75" s="111"/>
      <c r="D75" s="137"/>
      <c r="E75" s="127"/>
      <c r="F75" s="142"/>
      <c r="G75" s="142"/>
      <c r="H75" s="142"/>
      <c r="I75" s="142"/>
      <c r="J75" s="142"/>
      <c r="K75" s="142"/>
    </row>
    <row r="76" spans="1:11" ht="15">
      <c r="A76" s="111" t="s">
        <v>91</v>
      </c>
      <c r="B76" s="108"/>
      <c r="C76" s="109"/>
      <c r="D76" s="110"/>
      <c r="E76" s="108"/>
      <c r="F76" s="110"/>
      <c r="G76" s="108"/>
      <c r="H76" s="110"/>
      <c r="I76" s="108"/>
      <c r="J76" s="110"/>
      <c r="K76" s="108"/>
    </row>
    <row r="77" spans="1:11" ht="15">
      <c r="A77" s="111"/>
      <c r="B77" s="108"/>
      <c r="C77" s="109"/>
      <c r="D77" s="110"/>
      <c r="E77" s="108"/>
      <c r="F77" s="110"/>
      <c r="G77" s="108"/>
      <c r="H77" s="110"/>
      <c r="I77" s="108"/>
      <c r="J77" s="110"/>
      <c r="K77" s="108"/>
    </row>
    <row r="78" spans="1:11" ht="15">
      <c r="A78" s="111" t="s">
        <v>154</v>
      </c>
      <c r="B78" s="111"/>
      <c r="C78" s="111"/>
      <c r="D78" s="112"/>
      <c r="E78" s="108"/>
      <c r="F78" s="110"/>
      <c r="G78" s="108"/>
      <c r="H78" s="110"/>
      <c r="I78" s="108"/>
      <c r="J78" s="110"/>
      <c r="K78" s="113"/>
    </row>
    <row r="79" spans="1:11" ht="15.75" customHeight="1">
      <c r="A79" s="340" t="str">
        <f>+$A$198</f>
        <v>First year of maintenance is included in the purchase price.  *Premium Support requires an active Maintenance Agreement.</v>
      </c>
      <c r="B79" s="340"/>
      <c r="C79" s="341"/>
      <c r="D79" s="304" t="s">
        <v>3</v>
      </c>
      <c r="E79" s="304"/>
      <c r="F79" s="304"/>
      <c r="G79" s="304"/>
      <c r="H79" s="305"/>
      <c r="I79" s="305"/>
      <c r="J79" s="304"/>
      <c r="K79" s="304"/>
    </row>
    <row r="80" spans="1:11" ht="12.75" customHeight="1">
      <c r="A80" s="340"/>
      <c r="B80" s="340"/>
      <c r="C80" s="341"/>
      <c r="D80" s="306" t="s">
        <v>4</v>
      </c>
      <c r="E80" s="307"/>
      <c r="F80" s="306" t="s">
        <v>5</v>
      </c>
      <c r="G80" s="307"/>
      <c r="H80" s="308" t="s">
        <v>6</v>
      </c>
      <c r="I80" s="309"/>
      <c r="J80" s="313" t="s">
        <v>7</v>
      </c>
      <c r="K80" s="314"/>
    </row>
    <row r="81" spans="1:11" ht="15">
      <c r="A81" s="342"/>
      <c r="B81" s="342"/>
      <c r="C81" s="343"/>
      <c r="D81" s="310" t="s">
        <v>8</v>
      </c>
      <c r="E81" s="311"/>
      <c r="F81" s="310" t="s">
        <v>8</v>
      </c>
      <c r="G81" s="311"/>
      <c r="H81" s="308"/>
      <c r="I81" s="309"/>
      <c r="J81" s="315"/>
      <c r="K81" s="316"/>
    </row>
    <row r="82" spans="1:11" ht="30">
      <c r="A82" s="114" t="s">
        <v>81</v>
      </c>
      <c r="B82" s="114" t="s">
        <v>10</v>
      </c>
      <c r="C82" s="114" t="s">
        <v>11</v>
      </c>
      <c r="D82" s="115" t="s">
        <v>12</v>
      </c>
      <c r="E82" s="116" t="s">
        <v>13</v>
      </c>
      <c r="F82" s="115" t="s">
        <v>12</v>
      </c>
      <c r="G82" s="116" t="s">
        <v>13</v>
      </c>
      <c r="H82" s="117" t="s">
        <v>12</v>
      </c>
      <c r="I82" s="114" t="s">
        <v>13</v>
      </c>
      <c r="J82" s="115" t="s">
        <v>12</v>
      </c>
      <c r="K82" s="116" t="s">
        <v>13</v>
      </c>
    </row>
    <row r="83" spans="1:11" ht="15">
      <c r="A83" s="118" t="s">
        <v>131</v>
      </c>
      <c r="B83" s="119" t="s">
        <v>15</v>
      </c>
      <c r="C83" s="120">
        <v>0</v>
      </c>
      <c r="D83" s="121">
        <v>99.95</v>
      </c>
      <c r="E83" s="143" t="s">
        <v>155</v>
      </c>
      <c r="F83" s="121">
        <f>ROUND(D83*0.5,2)</f>
        <v>49.98</v>
      </c>
      <c r="G83" s="143" t="s">
        <v>156</v>
      </c>
      <c r="H83" s="121">
        <f>ROUND(D83*0.2,2)</f>
        <v>19.989999999999998</v>
      </c>
      <c r="I83" s="143" t="s">
        <v>157</v>
      </c>
      <c r="J83" s="144" t="s">
        <v>40</v>
      </c>
      <c r="K83" s="143" t="s">
        <v>40</v>
      </c>
    </row>
    <row r="84" spans="1:11" ht="15">
      <c r="A84" s="118" t="s">
        <v>135</v>
      </c>
      <c r="B84" s="119" t="s">
        <v>21</v>
      </c>
      <c r="C84" s="123">
        <f>$M$2</f>
        <v>0.09</v>
      </c>
      <c r="D84" s="121">
        <f>$D$83*(1-C84)</f>
        <v>90.95450000000001</v>
      </c>
      <c r="E84" s="143" t="s">
        <v>158</v>
      </c>
      <c r="F84" s="121">
        <f>ROUND(D84*0.5,2)</f>
        <v>45.48</v>
      </c>
      <c r="G84" s="143" t="s">
        <v>159</v>
      </c>
      <c r="H84" s="121">
        <f>ROUND(D84*0.2,2)</f>
        <v>18.190000000000001</v>
      </c>
      <c r="I84" s="143" t="s">
        <v>160</v>
      </c>
      <c r="J84" s="121">
        <f>ROUND(D84*0.15,2)</f>
        <v>13.64</v>
      </c>
      <c r="K84" s="143" t="s">
        <v>161</v>
      </c>
    </row>
    <row r="85" spans="1:11" ht="15">
      <c r="A85" s="124" t="s">
        <v>140</v>
      </c>
      <c r="B85" s="119" t="s">
        <v>27</v>
      </c>
      <c r="C85" s="123">
        <f>$M$3</f>
        <v>0.23300000000000001</v>
      </c>
      <c r="D85" s="121">
        <f>$D$83*(1-C85)</f>
        <v>76.661650000000009</v>
      </c>
      <c r="E85" s="143" t="s">
        <v>162</v>
      </c>
      <c r="F85" s="121">
        <f>ROUND(D85*0.5,2)</f>
        <v>38.33</v>
      </c>
      <c r="G85" s="143" t="s">
        <v>163</v>
      </c>
      <c r="H85" s="121">
        <f>ROUND(D85*0.2,2)</f>
        <v>15.33</v>
      </c>
      <c r="I85" s="143" t="s">
        <v>164</v>
      </c>
      <c r="J85" s="121">
        <f>ROUND(D85*0.15,2)</f>
        <v>11.5</v>
      </c>
      <c r="K85" s="143" t="s">
        <v>165</v>
      </c>
    </row>
    <row r="86" spans="1:11" ht="15">
      <c r="A86" s="124" t="s">
        <v>145</v>
      </c>
      <c r="B86" s="119" t="s">
        <v>33</v>
      </c>
      <c r="C86" s="123">
        <f>$M$4</f>
        <v>0.377</v>
      </c>
      <c r="D86" s="121">
        <f>$D$83*(1-C86)</f>
        <v>62.26885</v>
      </c>
      <c r="E86" s="143" t="s">
        <v>166</v>
      </c>
      <c r="F86" s="121">
        <f>ROUND(D86*0.5,2)</f>
        <v>31.13</v>
      </c>
      <c r="G86" s="143" t="s">
        <v>167</v>
      </c>
      <c r="H86" s="121">
        <f>ROUND(D86*0.2,2)</f>
        <v>12.45</v>
      </c>
      <c r="I86" s="143" t="s">
        <v>168</v>
      </c>
      <c r="J86" s="121">
        <f>ROUND(D86*0.15,2)</f>
        <v>9.34</v>
      </c>
      <c r="K86" s="143" t="s">
        <v>169</v>
      </c>
    </row>
    <row r="87" spans="1:11" ht="15">
      <c r="A87" s="353" t="s">
        <v>560</v>
      </c>
      <c r="B87" s="354"/>
      <c r="C87" s="355"/>
      <c r="D87" s="121">
        <v>233.88</v>
      </c>
      <c r="E87" s="143" t="s">
        <v>565</v>
      </c>
      <c r="F87" s="121">
        <v>116.94</v>
      </c>
      <c r="G87" s="143" t="s">
        <v>566</v>
      </c>
      <c r="H87" s="121">
        <v>46.78</v>
      </c>
      <c r="I87" s="143" t="s">
        <v>567</v>
      </c>
      <c r="J87" s="218" t="s">
        <v>40</v>
      </c>
      <c r="K87" s="218" t="s">
        <v>40</v>
      </c>
    </row>
    <row r="88" spans="1:11" ht="15">
      <c r="A88" s="111" t="e">
        <f>#REF!</f>
        <v>#REF!</v>
      </c>
      <c r="B88" s="127"/>
      <c r="C88" s="129"/>
      <c r="D88" s="145"/>
      <c r="E88" s="130"/>
      <c r="F88" s="145"/>
      <c r="G88" s="130"/>
      <c r="H88" s="145"/>
      <c r="I88" s="130"/>
      <c r="J88" s="145"/>
      <c r="K88" s="130"/>
    </row>
    <row r="89" spans="1:11" ht="15">
      <c r="A89" s="108"/>
      <c r="B89" s="108"/>
      <c r="C89" s="109"/>
      <c r="D89" s="110"/>
      <c r="E89" s="108"/>
      <c r="F89" s="110"/>
      <c r="G89" s="108"/>
      <c r="H89" s="110"/>
      <c r="I89" s="108"/>
      <c r="J89" s="110"/>
      <c r="K89" s="108"/>
    </row>
    <row r="90" spans="1:11" ht="15">
      <c r="A90" s="111" t="s">
        <v>154</v>
      </c>
      <c r="B90" s="111"/>
      <c r="C90" s="111"/>
      <c r="D90" s="112"/>
      <c r="E90" s="108"/>
      <c r="F90" s="110"/>
      <c r="G90" s="108"/>
      <c r="H90" s="110"/>
      <c r="I90" s="108"/>
      <c r="J90" s="110"/>
      <c r="K90" s="113"/>
    </row>
    <row r="91" spans="1:11" ht="15">
      <c r="A91" s="111" t="s">
        <v>114</v>
      </c>
      <c r="B91" s="111"/>
      <c r="C91" s="111"/>
      <c r="D91" s="112"/>
      <c r="E91" s="108"/>
      <c r="F91" s="110"/>
      <c r="G91" s="108"/>
      <c r="H91" s="110"/>
      <c r="I91" s="108"/>
      <c r="J91" s="110"/>
      <c r="K91" s="113"/>
    </row>
    <row r="92" spans="1:11" ht="15.75" customHeight="1">
      <c r="A92" s="340" t="str">
        <f>+$A$198</f>
        <v>First year of maintenance is included in the purchase price.  *Premium Support requires an active Maintenance Agreement.</v>
      </c>
      <c r="B92" s="340"/>
      <c r="C92" s="341"/>
      <c r="D92" s="304" t="s">
        <v>3</v>
      </c>
      <c r="E92" s="304"/>
      <c r="F92" s="304"/>
      <c r="G92" s="304"/>
      <c r="H92" s="304"/>
      <c r="I92" s="304"/>
      <c r="J92" s="304"/>
      <c r="K92" s="304"/>
    </row>
    <row r="93" spans="1:11" ht="12.75" customHeight="1">
      <c r="A93" s="340"/>
      <c r="B93" s="340"/>
      <c r="C93" s="341"/>
      <c r="D93" s="306" t="s">
        <v>4</v>
      </c>
      <c r="E93" s="307"/>
      <c r="F93" s="306" t="s">
        <v>5</v>
      </c>
      <c r="G93" s="307"/>
      <c r="H93" s="313" t="s">
        <v>6</v>
      </c>
      <c r="I93" s="314"/>
      <c r="J93" s="313" t="s">
        <v>7</v>
      </c>
      <c r="K93" s="314"/>
    </row>
    <row r="94" spans="1:11" ht="15">
      <c r="A94" s="342"/>
      <c r="B94" s="342"/>
      <c r="C94" s="343"/>
      <c r="D94" s="310" t="s">
        <v>8</v>
      </c>
      <c r="E94" s="311"/>
      <c r="F94" s="310" t="s">
        <v>8</v>
      </c>
      <c r="G94" s="311"/>
      <c r="H94" s="315"/>
      <c r="I94" s="316"/>
      <c r="J94" s="315"/>
      <c r="K94" s="316"/>
    </row>
    <row r="95" spans="1:11" ht="30">
      <c r="A95" s="114" t="s">
        <v>81</v>
      </c>
      <c r="B95" s="322" t="s">
        <v>10</v>
      </c>
      <c r="C95" s="322"/>
      <c r="D95" s="115" t="s">
        <v>12</v>
      </c>
      <c r="E95" s="116" t="s">
        <v>13</v>
      </c>
      <c r="F95" s="115" t="s">
        <v>12</v>
      </c>
      <c r="G95" s="116" t="s">
        <v>13</v>
      </c>
      <c r="H95" s="115" t="s">
        <v>12</v>
      </c>
      <c r="I95" s="116" t="s">
        <v>13</v>
      </c>
      <c r="J95" s="115" t="s">
        <v>12</v>
      </c>
      <c r="K95" s="116" t="s">
        <v>13</v>
      </c>
    </row>
    <row r="96" spans="1:11" ht="15">
      <c r="A96" s="118" t="s">
        <v>131</v>
      </c>
      <c r="B96" s="336" t="s">
        <v>15</v>
      </c>
      <c r="C96" s="336"/>
      <c r="D96" s="121"/>
      <c r="E96" s="143" t="s">
        <v>170</v>
      </c>
      <c r="F96" s="327" t="s">
        <v>116</v>
      </c>
      <c r="G96" s="337"/>
      <c r="H96" s="327" t="s">
        <v>117</v>
      </c>
      <c r="I96" s="337"/>
      <c r="J96" s="327" t="s">
        <v>118</v>
      </c>
      <c r="K96" s="337"/>
    </row>
    <row r="97" spans="1:11" ht="15">
      <c r="A97" s="118" t="s">
        <v>135</v>
      </c>
      <c r="B97" s="336" t="s">
        <v>21</v>
      </c>
      <c r="C97" s="336"/>
      <c r="D97" s="121"/>
      <c r="E97" s="143" t="s">
        <v>171</v>
      </c>
      <c r="F97" s="337"/>
      <c r="G97" s="337"/>
      <c r="H97" s="337"/>
      <c r="I97" s="337"/>
      <c r="J97" s="337"/>
      <c r="K97" s="337"/>
    </row>
    <row r="98" spans="1:11" ht="15">
      <c r="A98" s="124" t="s">
        <v>140</v>
      </c>
      <c r="B98" s="336" t="s">
        <v>27</v>
      </c>
      <c r="C98" s="336"/>
      <c r="D98" s="121"/>
      <c r="E98" s="143" t="s">
        <v>172</v>
      </c>
      <c r="F98" s="337"/>
      <c r="G98" s="337"/>
      <c r="H98" s="337"/>
      <c r="I98" s="337"/>
      <c r="J98" s="337"/>
      <c r="K98" s="337"/>
    </row>
    <row r="99" spans="1:11" ht="15">
      <c r="A99" s="124" t="s">
        <v>145</v>
      </c>
      <c r="B99" s="336" t="s">
        <v>33</v>
      </c>
      <c r="C99" s="336"/>
      <c r="D99" s="121"/>
      <c r="E99" s="143" t="s">
        <v>173</v>
      </c>
      <c r="F99" s="337"/>
      <c r="G99" s="337"/>
      <c r="H99" s="337"/>
      <c r="I99" s="337"/>
      <c r="J99" s="337"/>
      <c r="K99" s="337"/>
    </row>
    <row r="100" spans="1:11" ht="15">
      <c r="A100" s="111" t="e">
        <f>#REF!</f>
        <v>#REF!</v>
      </c>
      <c r="B100" s="127"/>
      <c r="C100" s="127"/>
      <c r="D100" s="145"/>
      <c r="E100" s="130"/>
      <c r="F100" s="128"/>
      <c r="G100" s="128"/>
      <c r="H100" s="128"/>
      <c r="I100" s="128"/>
      <c r="J100" s="128"/>
      <c r="K100" s="128"/>
    </row>
    <row r="101" spans="1:11" ht="15">
      <c r="A101" s="111" t="s">
        <v>90</v>
      </c>
      <c r="B101" s="127"/>
      <c r="C101" s="129"/>
      <c r="D101" s="126"/>
      <c r="E101" s="130"/>
      <c r="F101" s="146"/>
      <c r="G101" s="146"/>
      <c r="H101" s="146"/>
      <c r="I101" s="146"/>
      <c r="J101" s="146"/>
      <c r="K101" s="146"/>
    </row>
    <row r="102" spans="1:11" ht="15">
      <c r="A102" s="111" t="s">
        <v>91</v>
      </c>
      <c r="B102" s="127"/>
      <c r="C102" s="129"/>
      <c r="D102" s="126"/>
      <c r="E102" s="130"/>
      <c r="F102" s="146"/>
      <c r="G102" s="146"/>
      <c r="H102" s="146"/>
      <c r="I102" s="146"/>
      <c r="J102" s="146"/>
      <c r="K102" s="146"/>
    </row>
    <row r="103" spans="1:11" ht="15">
      <c r="A103" s="111"/>
      <c r="B103" s="127"/>
      <c r="C103" s="129"/>
      <c r="D103" s="126"/>
      <c r="E103" s="130"/>
      <c r="F103" s="146"/>
      <c r="G103" s="146"/>
      <c r="H103" s="146"/>
      <c r="I103" s="146"/>
      <c r="J103" s="146"/>
      <c r="K103" s="146"/>
    </row>
    <row r="104" spans="1:11" ht="15">
      <c r="A104" s="111" t="s">
        <v>279</v>
      </c>
      <c r="B104" s="111"/>
      <c r="C104" s="111"/>
      <c r="D104" s="111"/>
      <c r="E104" s="108"/>
      <c r="F104" s="110"/>
      <c r="G104" s="108"/>
      <c r="H104" s="110"/>
      <c r="I104" s="108"/>
      <c r="J104" s="110"/>
      <c r="K104" s="113"/>
    </row>
    <row r="105" spans="1:11" ht="15">
      <c r="A105" s="340" t="s">
        <v>2</v>
      </c>
      <c r="B105" s="340"/>
      <c r="C105" s="340"/>
      <c r="D105" s="304" t="s">
        <v>3</v>
      </c>
      <c r="E105" s="304"/>
      <c r="F105" s="304"/>
      <c r="G105" s="304"/>
      <c r="H105" s="305"/>
      <c r="I105" s="305"/>
      <c r="J105" s="305"/>
      <c r="K105" s="305"/>
    </row>
    <row r="106" spans="1:11" ht="15">
      <c r="A106" s="340"/>
      <c r="B106" s="340"/>
      <c r="C106" s="340"/>
      <c r="D106" s="306" t="s">
        <v>4</v>
      </c>
      <c r="E106" s="307"/>
      <c r="F106" s="306" t="s">
        <v>5</v>
      </c>
      <c r="G106" s="307"/>
      <c r="H106" s="308" t="s">
        <v>6</v>
      </c>
      <c r="I106" s="322"/>
      <c r="J106" s="322" t="s">
        <v>7</v>
      </c>
      <c r="K106" s="322"/>
    </row>
    <row r="107" spans="1:11" ht="15">
      <c r="A107" s="340"/>
      <c r="B107" s="340"/>
      <c r="C107" s="340"/>
      <c r="D107" s="310" t="s">
        <v>8</v>
      </c>
      <c r="E107" s="311"/>
      <c r="F107" s="310" t="s">
        <v>8</v>
      </c>
      <c r="G107" s="311"/>
      <c r="H107" s="308"/>
      <c r="I107" s="322"/>
      <c r="J107" s="322"/>
      <c r="K107" s="322"/>
    </row>
    <row r="108" spans="1:11" ht="15">
      <c r="A108" s="131"/>
      <c r="B108" s="131"/>
      <c r="C108" s="131"/>
      <c r="D108" s="115" t="s">
        <v>12</v>
      </c>
      <c r="E108" s="116" t="s">
        <v>13</v>
      </c>
      <c r="F108" s="115" t="s">
        <v>12</v>
      </c>
      <c r="G108" s="116" t="s">
        <v>13</v>
      </c>
      <c r="H108" s="117" t="s">
        <v>12</v>
      </c>
      <c r="I108" s="114" t="s">
        <v>13</v>
      </c>
      <c r="J108" s="117" t="s">
        <v>12</v>
      </c>
      <c r="K108" s="114" t="s">
        <v>13</v>
      </c>
    </row>
    <row r="109" spans="1:11" ht="15">
      <c r="A109" s="323" t="s">
        <v>280</v>
      </c>
      <c r="B109" s="323"/>
      <c r="C109" s="323"/>
      <c r="D109" s="147">
        <v>1595</v>
      </c>
      <c r="E109" s="148" t="s">
        <v>281</v>
      </c>
      <c r="F109" s="147">
        <v>797.5</v>
      </c>
      <c r="G109" s="148" t="s">
        <v>282</v>
      </c>
      <c r="H109" s="121">
        <v>319</v>
      </c>
      <c r="I109" s="141" t="s">
        <v>283</v>
      </c>
      <c r="J109" s="121">
        <v>239.25</v>
      </c>
      <c r="K109" s="141" t="s">
        <v>284</v>
      </c>
    </row>
    <row r="110" spans="1:11" ht="15">
      <c r="A110" s="323" t="s">
        <v>285</v>
      </c>
      <c r="B110" s="323"/>
      <c r="C110" s="323"/>
      <c r="D110" s="149">
        <v>1695</v>
      </c>
      <c r="E110" s="141" t="s">
        <v>286</v>
      </c>
      <c r="F110" s="121">
        <v>847.5</v>
      </c>
      <c r="G110" s="141" t="s">
        <v>287</v>
      </c>
      <c r="H110" s="121">
        <v>339</v>
      </c>
      <c r="I110" s="141" t="s">
        <v>288</v>
      </c>
      <c r="J110" s="121">
        <v>254.25</v>
      </c>
      <c r="K110" s="141" t="s">
        <v>289</v>
      </c>
    </row>
    <row r="111" spans="1:11" ht="15">
      <c r="A111" s="348" t="s">
        <v>290</v>
      </c>
      <c r="B111" s="348"/>
      <c r="C111" s="348"/>
      <c r="D111" s="121">
        <v>5385</v>
      </c>
      <c r="E111" s="141" t="s">
        <v>291</v>
      </c>
      <c r="F111" s="337" t="s">
        <v>40</v>
      </c>
      <c r="G111" s="337"/>
      <c r="H111" s="337" t="s">
        <v>40</v>
      </c>
      <c r="I111" s="337"/>
      <c r="J111" s="337" t="s">
        <v>40</v>
      </c>
      <c r="K111" s="337"/>
    </row>
    <row r="112" spans="1:11" ht="15">
      <c r="A112" s="111" t="s">
        <v>292</v>
      </c>
      <c r="B112" s="150"/>
      <c r="C112" s="150"/>
      <c r="D112" s="110"/>
      <c r="E112" s="151"/>
      <c r="F112" s="126"/>
      <c r="G112" s="151"/>
      <c r="H112" s="126"/>
      <c r="I112" s="151"/>
      <c r="J112" s="126"/>
      <c r="K112" s="151"/>
    </row>
    <row r="113" spans="1:11" ht="15">
      <c r="A113" s="111" t="s">
        <v>293</v>
      </c>
      <c r="B113" s="108"/>
      <c r="C113" s="109"/>
      <c r="D113" s="110"/>
      <c r="E113" s="108"/>
      <c r="F113" s="108"/>
      <c r="G113" s="108"/>
      <c r="H113" s="108"/>
      <c r="I113" s="108"/>
      <c r="J113" s="108"/>
      <c r="K113" s="108"/>
    </row>
    <row r="114" spans="1:11" ht="15">
      <c r="A114" s="111" t="s">
        <v>294</v>
      </c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</row>
    <row r="115" spans="1:11" ht="15">
      <c r="A115" s="111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</row>
    <row r="116" spans="1:11" ht="15">
      <c r="A116" s="111" t="s">
        <v>279</v>
      </c>
      <c r="B116" s="111"/>
      <c r="C116" s="111"/>
      <c r="D116" s="110"/>
      <c r="E116" s="108"/>
      <c r="F116" s="110"/>
      <c r="G116" s="108"/>
      <c r="H116" s="110"/>
      <c r="I116" s="108"/>
      <c r="J116" s="110"/>
      <c r="K116" s="113"/>
    </row>
    <row r="117" spans="1:11" ht="15">
      <c r="A117" s="111" t="s">
        <v>79</v>
      </c>
      <c r="B117" s="111"/>
      <c r="C117" s="111"/>
      <c r="D117" s="110"/>
      <c r="E117" s="108"/>
      <c r="F117" s="110"/>
      <c r="G117" s="108"/>
      <c r="H117" s="110"/>
      <c r="I117" s="108"/>
      <c r="J117" s="110"/>
      <c r="K117" s="113"/>
    </row>
    <row r="118" spans="1:11" ht="15">
      <c r="A118" s="340" t="s">
        <v>2</v>
      </c>
      <c r="B118" s="340"/>
      <c r="C118" s="340"/>
      <c r="D118" s="304" t="s">
        <v>3</v>
      </c>
      <c r="E118" s="304"/>
      <c r="F118" s="304"/>
      <c r="G118" s="304"/>
      <c r="H118" s="305"/>
      <c r="I118" s="305"/>
      <c r="J118" s="305"/>
      <c r="K118" s="305"/>
    </row>
    <row r="119" spans="1:11" ht="15">
      <c r="A119" s="340"/>
      <c r="B119" s="340"/>
      <c r="C119" s="340"/>
      <c r="D119" s="306" t="s">
        <v>4</v>
      </c>
      <c r="E119" s="307"/>
      <c r="F119" s="306" t="s">
        <v>5</v>
      </c>
      <c r="G119" s="307"/>
      <c r="H119" s="308" t="s">
        <v>6</v>
      </c>
      <c r="I119" s="322"/>
      <c r="J119" s="322" t="s">
        <v>7</v>
      </c>
      <c r="K119" s="322"/>
    </row>
    <row r="120" spans="1:11" ht="15">
      <c r="A120" s="340"/>
      <c r="B120" s="340"/>
      <c r="C120" s="340"/>
      <c r="D120" s="310" t="s">
        <v>8</v>
      </c>
      <c r="E120" s="311"/>
      <c r="F120" s="310" t="s">
        <v>8</v>
      </c>
      <c r="G120" s="311"/>
      <c r="H120" s="308"/>
      <c r="I120" s="322"/>
      <c r="J120" s="322"/>
      <c r="K120" s="322"/>
    </row>
    <row r="121" spans="1:11" ht="15">
      <c r="A121" s="131"/>
      <c r="B121" s="131"/>
      <c r="C121" s="131"/>
      <c r="D121" s="115" t="s">
        <v>12</v>
      </c>
      <c r="E121" s="116" t="s">
        <v>13</v>
      </c>
      <c r="F121" s="115" t="s">
        <v>12</v>
      </c>
      <c r="G121" s="116" t="s">
        <v>13</v>
      </c>
      <c r="H121" s="117" t="s">
        <v>12</v>
      </c>
      <c r="I121" s="114" t="s">
        <v>13</v>
      </c>
      <c r="J121" s="117" t="s">
        <v>12</v>
      </c>
      <c r="K121" s="114" t="s">
        <v>13</v>
      </c>
    </row>
    <row r="122" spans="1:11" ht="15">
      <c r="A122" s="323" t="s">
        <v>280</v>
      </c>
      <c r="B122" s="323"/>
      <c r="C122" s="323"/>
      <c r="D122" s="152"/>
      <c r="E122" s="148" t="s">
        <v>295</v>
      </c>
      <c r="F122" s="338" t="s">
        <v>84</v>
      </c>
      <c r="G122" s="339"/>
      <c r="H122" s="327" t="s">
        <v>85</v>
      </c>
      <c r="I122" s="337"/>
      <c r="J122" s="327" t="s">
        <v>86</v>
      </c>
      <c r="K122" s="337"/>
    </row>
    <row r="123" spans="1:11" ht="15">
      <c r="A123" s="323" t="s">
        <v>285</v>
      </c>
      <c r="B123" s="323"/>
      <c r="C123" s="323"/>
      <c r="D123" s="149"/>
      <c r="E123" s="141" t="s">
        <v>296</v>
      </c>
      <c r="F123" s="337"/>
      <c r="G123" s="337"/>
      <c r="H123" s="337"/>
      <c r="I123" s="337"/>
      <c r="J123" s="337"/>
      <c r="K123" s="337"/>
    </row>
    <row r="124" spans="1:11" ht="15">
      <c r="A124" s="111" t="s">
        <v>292</v>
      </c>
      <c r="B124" s="150"/>
      <c r="C124" s="150"/>
      <c r="D124" s="110"/>
      <c r="E124" s="151"/>
      <c r="F124" s="126"/>
      <c r="G124" s="151"/>
      <c r="H124" s="126"/>
      <c r="I124" s="151"/>
      <c r="J124" s="126"/>
      <c r="K124" s="151"/>
    </row>
    <row r="125" spans="1:11" ht="15">
      <c r="A125" s="111" t="s">
        <v>293</v>
      </c>
      <c r="B125" s="108"/>
      <c r="C125" s="109"/>
      <c r="D125" s="110"/>
      <c r="E125" s="108"/>
      <c r="F125" s="108"/>
      <c r="G125" s="108"/>
      <c r="H125" s="108"/>
      <c r="I125" s="108"/>
      <c r="J125" s="108"/>
      <c r="K125" s="108"/>
    </row>
    <row r="126" spans="1:11" ht="15">
      <c r="A126" s="111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</row>
    <row r="127" spans="1:11" ht="15">
      <c r="A127" s="111" t="s">
        <v>297</v>
      </c>
      <c r="B127" s="111"/>
      <c r="C127" s="111"/>
      <c r="D127" s="110"/>
      <c r="E127" s="108"/>
      <c r="F127" s="110"/>
      <c r="G127" s="108"/>
      <c r="H127" s="110"/>
      <c r="I127" s="108"/>
      <c r="J127" s="110"/>
      <c r="K127" s="113"/>
    </row>
    <row r="128" spans="1:11" ht="15.75" customHeight="1">
      <c r="A128" s="340" t="s">
        <v>2</v>
      </c>
      <c r="B128" s="340"/>
      <c r="C128" s="341"/>
      <c r="D128" s="304" t="s">
        <v>3</v>
      </c>
      <c r="E128" s="304"/>
      <c r="F128" s="304"/>
      <c r="G128" s="304"/>
      <c r="H128" s="305"/>
      <c r="I128" s="305"/>
      <c r="J128" s="305"/>
      <c r="K128" s="305"/>
    </row>
    <row r="129" spans="1:11" ht="15">
      <c r="A129" s="340"/>
      <c r="B129" s="340"/>
      <c r="C129" s="341"/>
      <c r="D129" s="306" t="s">
        <v>4</v>
      </c>
      <c r="E129" s="307"/>
      <c r="F129" s="306" t="s">
        <v>5</v>
      </c>
      <c r="G129" s="307"/>
      <c r="H129" s="308" t="s">
        <v>6</v>
      </c>
      <c r="I129" s="322"/>
      <c r="J129" s="322" t="s">
        <v>7</v>
      </c>
      <c r="K129" s="322"/>
    </row>
    <row r="130" spans="1:11" ht="15">
      <c r="A130" s="340"/>
      <c r="B130" s="340"/>
      <c r="C130" s="341"/>
      <c r="D130" s="310" t="s">
        <v>8</v>
      </c>
      <c r="E130" s="311"/>
      <c r="F130" s="310" t="s">
        <v>8</v>
      </c>
      <c r="G130" s="311"/>
      <c r="H130" s="308"/>
      <c r="I130" s="322"/>
      <c r="J130" s="322"/>
      <c r="K130" s="322"/>
    </row>
    <row r="131" spans="1:11" ht="15">
      <c r="A131" s="342"/>
      <c r="B131" s="342"/>
      <c r="C131" s="343"/>
      <c r="D131" s="115" t="s">
        <v>12</v>
      </c>
      <c r="E131" s="116" t="s">
        <v>13</v>
      </c>
      <c r="F131" s="115" t="s">
        <v>12</v>
      </c>
      <c r="G131" s="116" t="s">
        <v>13</v>
      </c>
      <c r="H131" s="117" t="s">
        <v>12</v>
      </c>
      <c r="I131" s="114" t="s">
        <v>13</v>
      </c>
      <c r="J131" s="117" t="s">
        <v>12</v>
      </c>
      <c r="K131" s="114" t="s">
        <v>13</v>
      </c>
    </row>
    <row r="132" spans="1:11" ht="15">
      <c r="A132" s="323" t="s">
        <v>298</v>
      </c>
      <c r="B132" s="323"/>
      <c r="C132" s="323"/>
      <c r="D132" s="152">
        <v>395</v>
      </c>
      <c r="E132" s="148" t="s">
        <v>299</v>
      </c>
      <c r="F132" s="147">
        <f>ROUND(D132*0.5,2)</f>
        <v>197.5</v>
      </c>
      <c r="G132" s="148" t="s">
        <v>300</v>
      </c>
      <c r="H132" s="121">
        <f>ROUND(0.2*D132,2)</f>
        <v>79</v>
      </c>
      <c r="I132" s="141" t="s">
        <v>301</v>
      </c>
      <c r="J132" s="121">
        <f>ROUND(0.15*D132,2)</f>
        <v>59.25</v>
      </c>
      <c r="K132" s="141" t="s">
        <v>302</v>
      </c>
    </row>
    <row r="133" spans="1:11" ht="15">
      <c r="A133" s="323" t="s">
        <v>303</v>
      </c>
      <c r="B133" s="323"/>
      <c r="C133" s="323"/>
      <c r="D133" s="121">
        <v>995</v>
      </c>
      <c r="E133" s="141" t="s">
        <v>304</v>
      </c>
      <c r="F133" s="121">
        <f>ROUND(D133*0.5,2)</f>
        <v>497.5</v>
      </c>
      <c r="G133" s="141" t="s">
        <v>305</v>
      </c>
      <c r="H133" s="121">
        <f>ROUND(0.2*D133,2)</f>
        <v>199</v>
      </c>
      <c r="I133" s="141" t="s">
        <v>306</v>
      </c>
      <c r="J133" s="121">
        <f>ROUND(0.15*D133,2)</f>
        <v>149.25</v>
      </c>
      <c r="K133" s="141" t="s">
        <v>307</v>
      </c>
    </row>
    <row r="134" spans="1:11" ht="15">
      <c r="A134" s="323" t="s">
        <v>308</v>
      </c>
      <c r="B134" s="323"/>
      <c r="C134" s="323"/>
      <c r="D134" s="149">
        <v>2395</v>
      </c>
      <c r="E134" s="141" t="s">
        <v>309</v>
      </c>
      <c r="F134" s="121">
        <f>ROUND(D134*0.5,2)</f>
        <v>1197.5</v>
      </c>
      <c r="G134" s="141" t="s">
        <v>310</v>
      </c>
      <c r="H134" s="121">
        <f>ROUND(0.2*D134,2)</f>
        <v>479</v>
      </c>
      <c r="I134" s="141" t="s">
        <v>311</v>
      </c>
      <c r="J134" s="121">
        <f>ROUND(0.15*D134,2)</f>
        <v>359.25</v>
      </c>
      <c r="K134" s="141" t="s">
        <v>312</v>
      </c>
    </row>
    <row r="135" spans="1:11" ht="15">
      <c r="A135" s="323" t="s">
        <v>313</v>
      </c>
      <c r="B135" s="323"/>
      <c r="C135" s="323"/>
      <c r="D135" s="337" t="s">
        <v>314</v>
      </c>
      <c r="E135" s="337"/>
      <c r="F135" s="121">
        <v>647.5</v>
      </c>
      <c r="G135" s="141" t="s">
        <v>315</v>
      </c>
      <c r="H135" s="121">
        <v>259</v>
      </c>
      <c r="I135" s="141" t="s">
        <v>316</v>
      </c>
      <c r="J135" s="121">
        <v>194.25</v>
      </c>
      <c r="K135" s="141" t="s">
        <v>317</v>
      </c>
    </row>
    <row r="136" spans="1:11" ht="15">
      <c r="A136" s="323" t="s">
        <v>318</v>
      </c>
      <c r="B136" s="323"/>
      <c r="C136" s="323"/>
      <c r="D136" s="337"/>
      <c r="E136" s="337"/>
      <c r="F136" s="121">
        <v>947.5</v>
      </c>
      <c r="G136" s="141" t="s">
        <v>319</v>
      </c>
      <c r="H136" s="121">
        <v>379</v>
      </c>
      <c r="I136" s="141" t="s">
        <v>320</v>
      </c>
      <c r="J136" s="121">
        <v>284.25</v>
      </c>
      <c r="K136" s="141" t="s">
        <v>321</v>
      </c>
    </row>
    <row r="137" spans="1:11" ht="15">
      <c r="A137" s="323" t="s">
        <v>322</v>
      </c>
      <c r="B137" s="323"/>
      <c r="C137" s="323"/>
      <c r="D137" s="337"/>
      <c r="E137" s="337"/>
      <c r="F137" s="121">
        <v>1875</v>
      </c>
      <c r="G137" s="141" t="s">
        <v>323</v>
      </c>
      <c r="H137" s="121">
        <v>750</v>
      </c>
      <c r="I137" s="141" t="s">
        <v>324</v>
      </c>
      <c r="J137" s="121">
        <v>562.5</v>
      </c>
      <c r="K137" s="141" t="s">
        <v>325</v>
      </c>
    </row>
    <row r="138" spans="1:11" ht="15">
      <c r="A138" s="323" t="s">
        <v>326</v>
      </c>
      <c r="B138" s="323"/>
      <c r="C138" s="323"/>
      <c r="D138" s="337"/>
      <c r="E138" s="337"/>
      <c r="F138" s="121">
        <v>3875</v>
      </c>
      <c r="G138" s="141" t="s">
        <v>327</v>
      </c>
      <c r="H138" s="121">
        <v>1550</v>
      </c>
      <c r="I138" s="141" t="s">
        <v>328</v>
      </c>
      <c r="J138" s="121">
        <v>1162.5</v>
      </c>
      <c r="K138" s="141" t="s">
        <v>329</v>
      </c>
    </row>
    <row r="139" spans="1:11" ht="15">
      <c r="A139" s="111" t="s">
        <v>278</v>
      </c>
      <c r="B139" s="108"/>
      <c r="C139" s="109"/>
      <c r="D139" s="110"/>
      <c r="E139" s="108"/>
      <c r="F139" s="110"/>
      <c r="G139" s="108"/>
      <c r="H139" s="110"/>
      <c r="I139" s="108"/>
      <c r="J139" s="110"/>
      <c r="K139" s="108"/>
    </row>
    <row r="140" spans="1:11" ht="23.25" customHeight="1">
      <c r="A140" s="331" t="s">
        <v>485</v>
      </c>
      <c r="B140" s="331"/>
      <c r="C140" s="331"/>
      <c r="D140" s="331"/>
      <c r="E140" s="331"/>
      <c r="F140" s="331"/>
      <c r="G140" s="331"/>
      <c r="H140" s="331"/>
      <c r="I140" s="331"/>
      <c r="J140" s="331"/>
      <c r="K140" s="331"/>
    </row>
    <row r="141" spans="1:11" ht="15">
      <c r="A141" s="108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</row>
    <row r="142" spans="1:11" ht="15">
      <c r="A142" s="111" t="s">
        <v>330</v>
      </c>
      <c r="B142" s="111"/>
      <c r="C142" s="111"/>
      <c r="D142" s="110"/>
      <c r="E142" s="108"/>
      <c r="F142" s="110"/>
      <c r="G142" s="108"/>
      <c r="H142" s="110"/>
      <c r="I142" s="108"/>
      <c r="J142" s="110"/>
      <c r="K142" s="113"/>
    </row>
    <row r="143" spans="1:11" ht="15.75" customHeight="1">
      <c r="A143" s="340" t="s">
        <v>2</v>
      </c>
      <c r="B143" s="340"/>
      <c r="C143" s="341"/>
      <c r="D143" s="305" t="s">
        <v>3</v>
      </c>
      <c r="E143" s="305"/>
      <c r="F143" s="305"/>
      <c r="G143" s="305"/>
      <c r="H143" s="305"/>
      <c r="I143" s="305"/>
      <c r="J143" s="305"/>
      <c r="K143" s="305"/>
    </row>
    <row r="144" spans="1:11" ht="12.75" customHeight="1">
      <c r="A144" s="340"/>
      <c r="B144" s="340"/>
      <c r="C144" s="341"/>
      <c r="D144" s="306" t="s">
        <v>4</v>
      </c>
      <c r="E144" s="307"/>
      <c r="F144" s="306" t="s">
        <v>5</v>
      </c>
      <c r="G144" s="307"/>
      <c r="H144" s="308" t="s">
        <v>6</v>
      </c>
      <c r="I144" s="322"/>
      <c r="J144" s="322" t="s">
        <v>7</v>
      </c>
      <c r="K144" s="322"/>
    </row>
    <row r="145" spans="1:11" ht="12.75" customHeight="1">
      <c r="A145" s="340"/>
      <c r="B145" s="340"/>
      <c r="C145" s="341"/>
      <c r="D145" s="310" t="s">
        <v>8</v>
      </c>
      <c r="E145" s="311"/>
      <c r="F145" s="310" t="s">
        <v>8</v>
      </c>
      <c r="G145" s="311"/>
      <c r="H145" s="308"/>
      <c r="I145" s="322"/>
      <c r="J145" s="322"/>
      <c r="K145" s="322"/>
    </row>
    <row r="146" spans="1:11" ht="12.75" customHeight="1">
      <c r="A146" s="342"/>
      <c r="B146" s="342"/>
      <c r="C146" s="343"/>
      <c r="D146" s="115" t="s">
        <v>12</v>
      </c>
      <c r="E146" s="116" t="s">
        <v>13</v>
      </c>
      <c r="F146" s="115" t="s">
        <v>12</v>
      </c>
      <c r="G146" s="116" t="s">
        <v>13</v>
      </c>
      <c r="H146" s="117" t="s">
        <v>12</v>
      </c>
      <c r="I146" s="114" t="s">
        <v>13</v>
      </c>
      <c r="J146" s="117" t="s">
        <v>12</v>
      </c>
      <c r="K146" s="114" t="s">
        <v>13</v>
      </c>
    </row>
    <row r="147" spans="1:11" ht="15">
      <c r="A147" s="323" t="s">
        <v>331</v>
      </c>
      <c r="B147" s="323"/>
      <c r="C147" s="323"/>
      <c r="D147" s="149">
        <v>395</v>
      </c>
      <c r="E147" s="141" t="s">
        <v>332</v>
      </c>
      <c r="F147" s="121">
        <f t="shared" ref="F147:F153" si="0">F132</f>
        <v>197.5</v>
      </c>
      <c r="G147" s="141" t="s">
        <v>333</v>
      </c>
      <c r="H147" s="121">
        <f t="shared" ref="H147:H153" si="1">H132</f>
        <v>79</v>
      </c>
      <c r="I147" s="141" t="s">
        <v>334</v>
      </c>
      <c r="J147" s="121">
        <f t="shared" ref="J147:J153" si="2">J132</f>
        <v>59.25</v>
      </c>
      <c r="K147" s="141" t="s">
        <v>335</v>
      </c>
    </row>
    <row r="148" spans="1:11" ht="15">
      <c r="A148" s="323" t="s">
        <v>336</v>
      </c>
      <c r="B148" s="323"/>
      <c r="C148" s="323"/>
      <c r="D148" s="149">
        <v>995</v>
      </c>
      <c r="E148" s="141" t="s">
        <v>337</v>
      </c>
      <c r="F148" s="121">
        <f t="shared" si="0"/>
        <v>497.5</v>
      </c>
      <c r="G148" s="141" t="s">
        <v>338</v>
      </c>
      <c r="H148" s="121">
        <f t="shared" si="1"/>
        <v>199</v>
      </c>
      <c r="I148" s="141" t="s">
        <v>339</v>
      </c>
      <c r="J148" s="121">
        <f t="shared" si="2"/>
        <v>149.25</v>
      </c>
      <c r="K148" s="141" t="s">
        <v>340</v>
      </c>
    </row>
    <row r="149" spans="1:11" ht="15">
      <c r="A149" s="323" t="s">
        <v>341</v>
      </c>
      <c r="B149" s="323"/>
      <c r="C149" s="323"/>
      <c r="D149" s="149">
        <f>D134</f>
        <v>2395</v>
      </c>
      <c r="E149" s="141" t="s">
        <v>342</v>
      </c>
      <c r="F149" s="121">
        <f t="shared" si="0"/>
        <v>1197.5</v>
      </c>
      <c r="G149" s="141" t="s">
        <v>343</v>
      </c>
      <c r="H149" s="121">
        <f t="shared" si="1"/>
        <v>479</v>
      </c>
      <c r="I149" s="141" t="s">
        <v>344</v>
      </c>
      <c r="J149" s="121">
        <f t="shared" si="2"/>
        <v>359.25</v>
      </c>
      <c r="K149" s="141" t="s">
        <v>345</v>
      </c>
    </row>
    <row r="150" spans="1:11" ht="15">
      <c r="A150" s="323" t="s">
        <v>346</v>
      </c>
      <c r="B150" s="323"/>
      <c r="C150" s="323"/>
      <c r="D150" s="337" t="s">
        <v>314</v>
      </c>
      <c r="E150" s="337"/>
      <c r="F150" s="121">
        <f t="shared" si="0"/>
        <v>647.5</v>
      </c>
      <c r="G150" s="141" t="s">
        <v>347</v>
      </c>
      <c r="H150" s="121">
        <f t="shared" si="1"/>
        <v>259</v>
      </c>
      <c r="I150" s="141" t="s">
        <v>348</v>
      </c>
      <c r="J150" s="121">
        <f t="shared" si="2"/>
        <v>194.25</v>
      </c>
      <c r="K150" s="141" t="s">
        <v>349</v>
      </c>
    </row>
    <row r="151" spans="1:11" ht="15">
      <c r="A151" s="323" t="s">
        <v>350</v>
      </c>
      <c r="B151" s="323"/>
      <c r="C151" s="323"/>
      <c r="D151" s="337"/>
      <c r="E151" s="337"/>
      <c r="F151" s="121">
        <f t="shared" si="0"/>
        <v>947.5</v>
      </c>
      <c r="G151" s="141" t="s">
        <v>351</v>
      </c>
      <c r="H151" s="121">
        <f t="shared" si="1"/>
        <v>379</v>
      </c>
      <c r="I151" s="141" t="s">
        <v>352</v>
      </c>
      <c r="J151" s="121">
        <f t="shared" si="2"/>
        <v>284.25</v>
      </c>
      <c r="K151" s="141" t="s">
        <v>353</v>
      </c>
    </row>
    <row r="152" spans="1:11" ht="15">
      <c r="A152" s="323" t="s">
        <v>354</v>
      </c>
      <c r="B152" s="323"/>
      <c r="C152" s="323"/>
      <c r="D152" s="337"/>
      <c r="E152" s="337"/>
      <c r="F152" s="121">
        <f t="shared" si="0"/>
        <v>1875</v>
      </c>
      <c r="G152" s="141" t="s">
        <v>355</v>
      </c>
      <c r="H152" s="121">
        <f t="shared" si="1"/>
        <v>750</v>
      </c>
      <c r="I152" s="141" t="s">
        <v>356</v>
      </c>
      <c r="J152" s="121">
        <f t="shared" si="2"/>
        <v>562.5</v>
      </c>
      <c r="K152" s="141" t="s">
        <v>357</v>
      </c>
    </row>
    <row r="153" spans="1:11" ht="15">
      <c r="A153" s="323" t="s">
        <v>358</v>
      </c>
      <c r="B153" s="323"/>
      <c r="C153" s="323"/>
      <c r="D153" s="337"/>
      <c r="E153" s="337"/>
      <c r="F153" s="121">
        <f t="shared" si="0"/>
        <v>3875</v>
      </c>
      <c r="G153" s="141" t="s">
        <v>359</v>
      </c>
      <c r="H153" s="121">
        <f t="shared" si="1"/>
        <v>1550</v>
      </c>
      <c r="I153" s="141" t="s">
        <v>360</v>
      </c>
      <c r="J153" s="121">
        <f t="shared" si="2"/>
        <v>1162.5</v>
      </c>
      <c r="K153" s="141" t="s">
        <v>361</v>
      </c>
    </row>
    <row r="154" spans="1:11" ht="15">
      <c r="A154" s="111" t="s">
        <v>278</v>
      </c>
      <c r="B154" s="150"/>
      <c r="C154" s="150"/>
      <c r="D154" s="128"/>
      <c r="E154" s="128"/>
      <c r="F154" s="126"/>
      <c r="G154" s="108"/>
      <c r="H154" s="126"/>
      <c r="I154" s="108"/>
      <c r="J154" s="126"/>
      <c r="K154" s="108"/>
    </row>
    <row r="155" spans="1:11" ht="27" customHeight="1">
      <c r="A155" s="331" t="s">
        <v>485</v>
      </c>
      <c r="B155" s="331"/>
      <c r="C155" s="331"/>
      <c r="D155" s="331"/>
      <c r="E155" s="331"/>
      <c r="F155" s="331"/>
      <c r="G155" s="331"/>
      <c r="H155" s="331"/>
      <c r="I155" s="331"/>
      <c r="J155" s="331"/>
      <c r="K155" s="331"/>
    </row>
    <row r="156" spans="1:11" ht="15">
      <c r="A156" s="153"/>
      <c r="B156" s="153"/>
      <c r="C156" s="153"/>
      <c r="D156" s="153"/>
      <c r="E156" s="153"/>
      <c r="F156" s="153"/>
      <c r="G156" s="153"/>
      <c r="H156" s="153"/>
      <c r="I156" s="153"/>
      <c r="J156" s="153"/>
      <c r="K156" s="153"/>
    </row>
    <row r="157" spans="1:11" ht="15">
      <c r="A157" s="111" t="s">
        <v>297</v>
      </c>
      <c r="B157" s="111"/>
      <c r="C157" s="111"/>
      <c r="D157" s="110"/>
      <c r="E157" s="108"/>
      <c r="F157" s="110"/>
      <c r="G157" s="108"/>
      <c r="H157" s="110"/>
      <c r="I157" s="108"/>
      <c r="J157" s="110"/>
      <c r="K157" s="113"/>
    </row>
    <row r="158" spans="1:11" ht="15">
      <c r="A158" s="111" t="s">
        <v>79</v>
      </c>
      <c r="B158" s="111"/>
      <c r="C158" s="111"/>
      <c r="D158" s="110"/>
      <c r="E158" s="108"/>
      <c r="F158" s="110"/>
      <c r="G158" s="108"/>
      <c r="H158" s="110"/>
      <c r="I158" s="108"/>
      <c r="J158" s="110"/>
      <c r="K158" s="113"/>
    </row>
    <row r="159" spans="1:11" ht="15.75" customHeight="1">
      <c r="A159" s="340" t="s">
        <v>2</v>
      </c>
      <c r="B159" s="340"/>
      <c r="C159" s="341"/>
      <c r="D159" s="304" t="s">
        <v>3</v>
      </c>
      <c r="E159" s="304"/>
      <c r="F159" s="304"/>
      <c r="G159" s="304"/>
      <c r="H159" s="305"/>
      <c r="I159" s="305"/>
      <c r="J159" s="305"/>
      <c r="K159" s="305"/>
    </row>
    <row r="160" spans="1:11" ht="15">
      <c r="A160" s="340"/>
      <c r="B160" s="340"/>
      <c r="C160" s="341"/>
      <c r="D160" s="306" t="s">
        <v>4</v>
      </c>
      <c r="E160" s="307"/>
      <c r="F160" s="306" t="s">
        <v>5</v>
      </c>
      <c r="G160" s="307"/>
      <c r="H160" s="308" t="s">
        <v>6</v>
      </c>
      <c r="I160" s="322"/>
      <c r="J160" s="322" t="s">
        <v>7</v>
      </c>
      <c r="K160" s="322"/>
    </row>
    <row r="161" spans="1:11" ht="15">
      <c r="A161" s="340"/>
      <c r="B161" s="340"/>
      <c r="C161" s="341"/>
      <c r="D161" s="310" t="s">
        <v>8</v>
      </c>
      <c r="E161" s="311"/>
      <c r="F161" s="310" t="s">
        <v>8</v>
      </c>
      <c r="G161" s="311"/>
      <c r="H161" s="308"/>
      <c r="I161" s="322"/>
      <c r="J161" s="322"/>
      <c r="K161" s="322"/>
    </row>
    <row r="162" spans="1:11" ht="15">
      <c r="A162" s="342"/>
      <c r="B162" s="342"/>
      <c r="C162" s="343"/>
      <c r="D162" s="115" t="s">
        <v>12</v>
      </c>
      <c r="E162" s="116" t="s">
        <v>13</v>
      </c>
      <c r="F162" s="115" t="s">
        <v>12</v>
      </c>
      <c r="G162" s="116" t="s">
        <v>13</v>
      </c>
      <c r="H162" s="117" t="s">
        <v>12</v>
      </c>
      <c r="I162" s="114" t="s">
        <v>13</v>
      </c>
      <c r="J162" s="117" t="s">
        <v>12</v>
      </c>
      <c r="K162" s="114" t="s">
        <v>13</v>
      </c>
    </row>
    <row r="163" spans="1:11" ht="15">
      <c r="A163" s="323" t="s">
        <v>298</v>
      </c>
      <c r="B163" s="323"/>
      <c r="C163" s="323"/>
      <c r="D163" s="152">
        <f>ROUND(D132*0.7,2)</f>
        <v>276.5</v>
      </c>
      <c r="E163" s="148" t="s">
        <v>362</v>
      </c>
      <c r="F163" s="338" t="s">
        <v>84</v>
      </c>
      <c r="G163" s="339"/>
      <c r="H163" s="327" t="s">
        <v>85</v>
      </c>
      <c r="I163" s="337"/>
      <c r="J163" s="327" t="s">
        <v>86</v>
      </c>
      <c r="K163" s="337"/>
    </row>
    <row r="164" spans="1:11" ht="15">
      <c r="A164" s="323" t="s">
        <v>303</v>
      </c>
      <c r="B164" s="323"/>
      <c r="C164" s="323"/>
      <c r="D164" s="149">
        <f>ROUND(D133*0.7,2)</f>
        <v>696.5</v>
      </c>
      <c r="E164" s="141" t="s">
        <v>363</v>
      </c>
      <c r="F164" s="337"/>
      <c r="G164" s="337"/>
      <c r="H164" s="337"/>
      <c r="I164" s="337"/>
      <c r="J164" s="337"/>
      <c r="K164" s="337"/>
    </row>
    <row r="165" spans="1:11" ht="15">
      <c r="A165" s="323" t="s">
        <v>308</v>
      </c>
      <c r="B165" s="323"/>
      <c r="C165" s="323"/>
      <c r="D165" s="149">
        <f>ROUND(D134*0.7,2)</f>
        <v>1676.5</v>
      </c>
      <c r="E165" s="141" t="s">
        <v>364</v>
      </c>
      <c r="F165" s="337"/>
      <c r="G165" s="337"/>
      <c r="H165" s="337"/>
      <c r="I165" s="337"/>
      <c r="J165" s="337"/>
      <c r="K165" s="337"/>
    </row>
    <row r="166" spans="1:11" ht="15">
      <c r="A166" s="111" t="s">
        <v>90</v>
      </c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</row>
    <row r="167" spans="1:11" ht="15">
      <c r="A167" s="111" t="s">
        <v>91</v>
      </c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</row>
    <row r="168" spans="1:11" ht="15">
      <c r="A168" s="111" t="s">
        <v>278</v>
      </c>
      <c r="B168" s="108"/>
      <c r="C168" s="109"/>
      <c r="D168" s="110"/>
      <c r="E168" s="108"/>
      <c r="F168" s="110"/>
      <c r="G168" s="108"/>
      <c r="H168" s="110"/>
      <c r="I168" s="108"/>
      <c r="J168" s="110"/>
      <c r="K168" s="108"/>
    </row>
    <row r="169" spans="1:11" ht="24.75" customHeight="1">
      <c r="A169" s="331" t="s">
        <v>485</v>
      </c>
      <c r="B169" s="331"/>
      <c r="C169" s="331"/>
      <c r="D169" s="331"/>
      <c r="E169" s="331"/>
      <c r="F169" s="331"/>
      <c r="G169" s="331"/>
      <c r="H169" s="331"/>
      <c r="I169" s="331"/>
      <c r="J169" s="331"/>
      <c r="K169" s="331"/>
    </row>
    <row r="170" spans="1:11" ht="15">
      <c r="A170" s="153"/>
      <c r="B170" s="153"/>
      <c r="C170" s="153"/>
      <c r="D170" s="153"/>
      <c r="E170" s="153"/>
      <c r="F170" s="153"/>
      <c r="G170" s="153"/>
      <c r="H170" s="153"/>
      <c r="I170" s="153"/>
      <c r="J170" s="153"/>
      <c r="K170" s="153"/>
    </row>
    <row r="171" spans="1:11" ht="15">
      <c r="A171" s="111" t="s">
        <v>330</v>
      </c>
      <c r="B171" s="111"/>
      <c r="C171" s="111"/>
      <c r="D171" s="110"/>
      <c r="E171" s="108"/>
      <c r="F171" s="110"/>
      <c r="G171" s="108"/>
      <c r="H171" s="110"/>
      <c r="I171" s="108"/>
      <c r="J171" s="110"/>
      <c r="K171" s="113"/>
    </row>
    <row r="172" spans="1:11" ht="15">
      <c r="A172" s="111" t="s">
        <v>79</v>
      </c>
      <c r="B172" s="111"/>
      <c r="C172" s="111"/>
      <c r="D172" s="110"/>
      <c r="E172" s="108"/>
      <c r="F172" s="110"/>
      <c r="G172" s="108"/>
      <c r="H172" s="110"/>
      <c r="I172" s="108"/>
      <c r="J172" s="110"/>
      <c r="K172" s="113"/>
    </row>
    <row r="173" spans="1:11" ht="15.75" customHeight="1">
      <c r="A173" s="340" t="s">
        <v>2</v>
      </c>
      <c r="B173" s="340"/>
      <c r="C173" s="341"/>
      <c r="D173" s="304" t="s">
        <v>3</v>
      </c>
      <c r="E173" s="304"/>
      <c r="F173" s="304"/>
      <c r="G173" s="304"/>
      <c r="H173" s="305"/>
      <c r="I173" s="305"/>
      <c r="J173" s="305"/>
      <c r="K173" s="305"/>
    </row>
    <row r="174" spans="1:11" ht="15">
      <c r="A174" s="340"/>
      <c r="B174" s="340"/>
      <c r="C174" s="341"/>
      <c r="D174" s="306" t="s">
        <v>4</v>
      </c>
      <c r="E174" s="307"/>
      <c r="F174" s="306" t="s">
        <v>5</v>
      </c>
      <c r="G174" s="307"/>
      <c r="H174" s="308" t="s">
        <v>6</v>
      </c>
      <c r="I174" s="322"/>
      <c r="J174" s="322" t="s">
        <v>7</v>
      </c>
      <c r="K174" s="322"/>
    </row>
    <row r="175" spans="1:11" ht="15">
      <c r="A175" s="340"/>
      <c r="B175" s="340"/>
      <c r="C175" s="341"/>
      <c r="D175" s="310" t="s">
        <v>8</v>
      </c>
      <c r="E175" s="311"/>
      <c r="F175" s="310" t="s">
        <v>8</v>
      </c>
      <c r="G175" s="311"/>
      <c r="H175" s="308"/>
      <c r="I175" s="322"/>
      <c r="J175" s="322"/>
      <c r="K175" s="322"/>
    </row>
    <row r="176" spans="1:11" ht="15">
      <c r="A176" s="342"/>
      <c r="B176" s="342"/>
      <c r="C176" s="343"/>
      <c r="D176" s="115" t="s">
        <v>12</v>
      </c>
      <c r="E176" s="116" t="s">
        <v>13</v>
      </c>
      <c r="F176" s="115" t="s">
        <v>12</v>
      </c>
      <c r="G176" s="116" t="s">
        <v>13</v>
      </c>
      <c r="H176" s="117" t="s">
        <v>12</v>
      </c>
      <c r="I176" s="114" t="s">
        <v>13</v>
      </c>
      <c r="J176" s="117" t="s">
        <v>12</v>
      </c>
      <c r="K176" s="114" t="s">
        <v>13</v>
      </c>
    </row>
    <row r="177" spans="1:11" ht="15">
      <c r="A177" s="323" t="s">
        <v>331</v>
      </c>
      <c r="B177" s="323"/>
      <c r="C177" s="323"/>
      <c r="D177" s="152">
        <f>D163</f>
        <v>276.5</v>
      </c>
      <c r="E177" s="148" t="s">
        <v>365</v>
      </c>
      <c r="F177" s="338" t="s">
        <v>84</v>
      </c>
      <c r="G177" s="339"/>
      <c r="H177" s="327" t="s">
        <v>85</v>
      </c>
      <c r="I177" s="337"/>
      <c r="J177" s="327" t="s">
        <v>86</v>
      </c>
      <c r="K177" s="337"/>
    </row>
    <row r="178" spans="1:11" ht="15">
      <c r="A178" s="323" t="s">
        <v>336</v>
      </c>
      <c r="B178" s="323"/>
      <c r="C178" s="323"/>
      <c r="D178" s="121">
        <f>D164</f>
        <v>696.5</v>
      </c>
      <c r="E178" s="141" t="s">
        <v>366</v>
      </c>
      <c r="F178" s="337"/>
      <c r="G178" s="337"/>
      <c r="H178" s="337"/>
      <c r="I178" s="337"/>
      <c r="J178" s="337"/>
      <c r="K178" s="337"/>
    </row>
    <row r="179" spans="1:11" ht="15">
      <c r="A179" s="323" t="s">
        <v>341</v>
      </c>
      <c r="B179" s="323"/>
      <c r="C179" s="323"/>
      <c r="D179" s="149">
        <f>D165</f>
        <v>1676.5</v>
      </c>
      <c r="E179" s="141" t="s">
        <v>367</v>
      </c>
      <c r="F179" s="337"/>
      <c r="G179" s="337"/>
      <c r="H179" s="337"/>
      <c r="I179" s="337"/>
      <c r="J179" s="337"/>
      <c r="K179" s="337"/>
    </row>
    <row r="180" spans="1:11" ht="15">
      <c r="A180" s="111" t="s">
        <v>90</v>
      </c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</row>
    <row r="181" spans="1:11" ht="15">
      <c r="A181" s="111" t="s">
        <v>91</v>
      </c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</row>
    <row r="182" spans="1:11" ht="15">
      <c r="A182" s="111" t="s">
        <v>278</v>
      </c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</row>
    <row r="183" spans="1:11" ht="26.25" customHeight="1">
      <c r="A183" s="331" t="s">
        <v>485</v>
      </c>
      <c r="B183" s="331"/>
      <c r="C183" s="331"/>
      <c r="D183" s="331"/>
      <c r="E183" s="331"/>
      <c r="F183" s="331"/>
      <c r="G183" s="331"/>
      <c r="H183" s="331"/>
      <c r="I183" s="331"/>
      <c r="J183" s="331"/>
      <c r="K183" s="331"/>
    </row>
    <row r="184" spans="1:11" ht="15">
      <c r="A184" s="153"/>
      <c r="B184" s="153"/>
      <c r="C184" s="153"/>
      <c r="D184" s="153"/>
      <c r="E184" s="153"/>
      <c r="F184" s="153"/>
      <c r="G184" s="153"/>
      <c r="H184" s="153"/>
      <c r="I184" s="153"/>
      <c r="J184" s="153"/>
      <c r="K184" s="153"/>
    </row>
    <row r="185" spans="1:11" ht="15">
      <c r="A185" s="111" t="s">
        <v>368</v>
      </c>
      <c r="B185" s="111"/>
      <c r="C185" s="111"/>
      <c r="D185" s="110"/>
      <c r="E185" s="108"/>
      <c r="F185" s="110"/>
      <c r="G185" s="108"/>
      <c r="H185" s="110"/>
      <c r="I185" s="108"/>
      <c r="J185" s="110"/>
      <c r="K185" s="113"/>
    </row>
    <row r="186" spans="1:11" ht="15.75" customHeight="1">
      <c r="A186" s="340" t="s">
        <v>2</v>
      </c>
      <c r="B186" s="340"/>
      <c r="C186" s="341"/>
      <c r="D186" s="304" t="s">
        <v>3</v>
      </c>
      <c r="E186" s="304"/>
      <c r="F186" s="304"/>
      <c r="G186" s="304"/>
      <c r="H186" s="305"/>
      <c r="I186" s="305"/>
      <c r="J186" s="305"/>
      <c r="K186" s="305"/>
    </row>
    <row r="187" spans="1:11" ht="15">
      <c r="A187" s="340"/>
      <c r="B187" s="340"/>
      <c r="C187" s="341"/>
      <c r="D187" s="306" t="s">
        <v>4</v>
      </c>
      <c r="E187" s="307"/>
      <c r="F187" s="306" t="s">
        <v>5</v>
      </c>
      <c r="G187" s="307"/>
      <c r="H187" s="308" t="s">
        <v>6</v>
      </c>
      <c r="I187" s="322"/>
      <c r="J187" s="322" t="s">
        <v>7</v>
      </c>
      <c r="K187" s="322"/>
    </row>
    <row r="188" spans="1:11" ht="15">
      <c r="A188" s="340"/>
      <c r="B188" s="340"/>
      <c r="C188" s="341"/>
      <c r="D188" s="310" t="s">
        <v>8</v>
      </c>
      <c r="E188" s="311"/>
      <c r="F188" s="310" t="s">
        <v>8</v>
      </c>
      <c r="G188" s="311"/>
      <c r="H188" s="308"/>
      <c r="I188" s="322"/>
      <c r="J188" s="322"/>
      <c r="K188" s="322"/>
    </row>
    <row r="189" spans="1:11" ht="15">
      <c r="A189" s="342"/>
      <c r="B189" s="342"/>
      <c r="C189" s="343"/>
      <c r="D189" s="115" t="s">
        <v>12</v>
      </c>
      <c r="E189" s="116" t="s">
        <v>13</v>
      </c>
      <c r="F189" s="115" t="s">
        <v>12</v>
      </c>
      <c r="G189" s="116" t="s">
        <v>13</v>
      </c>
      <c r="H189" s="117" t="s">
        <v>12</v>
      </c>
      <c r="I189" s="114" t="s">
        <v>13</v>
      </c>
      <c r="J189" s="117" t="s">
        <v>12</v>
      </c>
      <c r="K189" s="114" t="s">
        <v>13</v>
      </c>
    </row>
    <row r="190" spans="1:11" ht="15">
      <c r="A190" s="323" t="s">
        <v>369</v>
      </c>
      <c r="B190" s="323"/>
      <c r="C190" s="323"/>
      <c r="D190" s="152">
        <v>256.36</v>
      </c>
      <c r="E190" s="154" t="s">
        <v>370</v>
      </c>
      <c r="F190" s="147">
        <f>ROUND(D190*0.5,2)</f>
        <v>128.18</v>
      </c>
      <c r="G190" s="154" t="s">
        <v>371</v>
      </c>
      <c r="H190" s="121">
        <f>ROUND(D190*0.2,2)</f>
        <v>51.27</v>
      </c>
      <c r="I190" s="119" t="s">
        <v>372</v>
      </c>
      <c r="J190" s="155" t="s">
        <v>40</v>
      </c>
      <c r="K190" s="119" t="s">
        <v>40</v>
      </c>
    </row>
    <row r="191" spans="1:11" ht="15">
      <c r="A191" s="323" t="s">
        <v>373</v>
      </c>
      <c r="B191" s="323"/>
      <c r="C191" s="323"/>
      <c r="D191" s="149">
        <v>487.67</v>
      </c>
      <c r="E191" s="119" t="s">
        <v>374</v>
      </c>
      <c r="F191" s="121">
        <f>ROUND(D191*0.5,2)</f>
        <v>243.84</v>
      </c>
      <c r="G191" s="119" t="s">
        <v>375</v>
      </c>
      <c r="H191" s="121">
        <f>ROUND(D191*0.2,2)</f>
        <v>97.53</v>
      </c>
      <c r="I191" s="119" t="s">
        <v>376</v>
      </c>
      <c r="J191" s="121">
        <f>ROUND(D191*0.15,2)</f>
        <v>73.150000000000006</v>
      </c>
      <c r="K191" s="119" t="s">
        <v>377</v>
      </c>
    </row>
    <row r="192" spans="1:11" ht="15">
      <c r="A192" s="323" t="s">
        <v>378</v>
      </c>
      <c r="B192" s="323"/>
      <c r="C192" s="323"/>
      <c r="D192" s="149">
        <v>931.74</v>
      </c>
      <c r="E192" s="119" t="s">
        <v>379</v>
      </c>
      <c r="F192" s="121">
        <f>ROUND(D192*0.5,2)</f>
        <v>465.87</v>
      </c>
      <c r="G192" s="119" t="s">
        <v>380</v>
      </c>
      <c r="H192" s="121">
        <f>ROUND(D192*0.2,2)</f>
        <v>186.35</v>
      </c>
      <c r="I192" s="119" t="s">
        <v>381</v>
      </c>
      <c r="J192" s="121">
        <f>ROUND(D192*0.15,2)</f>
        <v>139.76</v>
      </c>
      <c r="K192" s="119" t="s">
        <v>382</v>
      </c>
    </row>
    <row r="193" spans="1:11" ht="15">
      <c r="A193" s="323" t="s">
        <v>383</v>
      </c>
      <c r="B193" s="323"/>
      <c r="C193" s="323"/>
      <c r="D193" s="149">
        <v>1724.79</v>
      </c>
      <c r="E193" s="119" t="s">
        <v>384</v>
      </c>
      <c r="F193" s="121">
        <f>ROUND(D193*0.5,2)</f>
        <v>862.4</v>
      </c>
      <c r="G193" s="119" t="s">
        <v>385</v>
      </c>
      <c r="H193" s="121">
        <f>ROUND(D193*0.2,2)</f>
        <v>344.96</v>
      </c>
      <c r="I193" s="119" t="s">
        <v>386</v>
      </c>
      <c r="J193" s="121">
        <f>ROUND(D193*0.15,2)</f>
        <v>258.72000000000003</v>
      </c>
      <c r="K193" s="119" t="s">
        <v>387</v>
      </c>
    </row>
    <row r="194" spans="1:11" ht="15">
      <c r="A194" s="111" t="s">
        <v>278</v>
      </c>
      <c r="B194" s="108"/>
      <c r="C194" s="109"/>
      <c r="D194" s="110"/>
      <c r="E194" s="108"/>
      <c r="F194" s="110"/>
      <c r="G194" s="108"/>
      <c r="H194" s="110"/>
      <c r="I194" s="108"/>
      <c r="J194" s="110"/>
      <c r="K194" s="108"/>
    </row>
    <row r="195" spans="1:11" ht="27" customHeight="1">
      <c r="A195" s="331" t="s">
        <v>485</v>
      </c>
      <c r="B195" s="331"/>
      <c r="C195" s="331"/>
      <c r="D195" s="331"/>
      <c r="E195" s="331"/>
      <c r="F195" s="331"/>
      <c r="G195" s="331"/>
      <c r="H195" s="331"/>
      <c r="I195" s="331"/>
      <c r="J195" s="331"/>
      <c r="K195" s="331"/>
    </row>
    <row r="196" spans="1:11" ht="15">
      <c r="A196" s="153"/>
      <c r="B196" s="153"/>
      <c r="C196" s="153"/>
      <c r="D196" s="153"/>
      <c r="E196" s="153"/>
      <c r="F196" s="153"/>
      <c r="G196" s="153"/>
      <c r="H196" s="153"/>
      <c r="I196" s="153"/>
      <c r="J196" s="153"/>
      <c r="K196" s="153"/>
    </row>
    <row r="197" spans="1:11" ht="15">
      <c r="A197" s="111" t="s">
        <v>1</v>
      </c>
      <c r="B197" s="111"/>
      <c r="C197" s="111"/>
      <c r="D197" s="112"/>
      <c r="E197" s="108"/>
      <c r="F197" s="110"/>
      <c r="G197" s="108"/>
      <c r="H197" s="110"/>
      <c r="I197" s="108"/>
      <c r="J197" s="110"/>
      <c r="K197" s="113"/>
    </row>
    <row r="198" spans="1:11" ht="15.75" customHeight="1">
      <c r="A198" s="340" t="s">
        <v>2</v>
      </c>
      <c r="B198" s="340"/>
      <c r="C198" s="341"/>
      <c r="D198" s="304" t="s">
        <v>3</v>
      </c>
      <c r="E198" s="304"/>
      <c r="F198" s="304"/>
      <c r="G198" s="304"/>
      <c r="H198" s="305"/>
      <c r="I198" s="305"/>
      <c r="J198" s="305"/>
      <c r="K198" s="305"/>
    </row>
    <row r="199" spans="1:11" ht="15">
      <c r="A199" s="340"/>
      <c r="B199" s="340"/>
      <c r="C199" s="341"/>
      <c r="D199" s="306" t="s">
        <v>4</v>
      </c>
      <c r="E199" s="307"/>
      <c r="F199" s="306" t="s">
        <v>5</v>
      </c>
      <c r="G199" s="307"/>
      <c r="H199" s="308" t="s">
        <v>6</v>
      </c>
      <c r="I199" s="322"/>
      <c r="J199" s="322" t="s">
        <v>7</v>
      </c>
      <c r="K199" s="322"/>
    </row>
    <row r="200" spans="1:11" ht="15">
      <c r="A200" s="342"/>
      <c r="B200" s="342"/>
      <c r="C200" s="343"/>
      <c r="D200" s="310" t="s">
        <v>8</v>
      </c>
      <c r="E200" s="311"/>
      <c r="F200" s="310" t="s">
        <v>8</v>
      </c>
      <c r="G200" s="311"/>
      <c r="H200" s="308"/>
      <c r="I200" s="322"/>
      <c r="J200" s="322"/>
      <c r="K200" s="322"/>
    </row>
    <row r="201" spans="1:11" ht="30">
      <c r="A201" s="114" t="s">
        <v>9</v>
      </c>
      <c r="B201" s="114" t="s">
        <v>10</v>
      </c>
      <c r="C201" s="156" t="s">
        <v>11</v>
      </c>
      <c r="D201" s="115" t="s">
        <v>12</v>
      </c>
      <c r="E201" s="116" t="s">
        <v>13</v>
      </c>
      <c r="F201" s="115" t="s">
        <v>12</v>
      </c>
      <c r="G201" s="116" t="s">
        <v>13</v>
      </c>
      <c r="H201" s="117" t="s">
        <v>12</v>
      </c>
      <c r="I201" s="114" t="s">
        <v>13</v>
      </c>
      <c r="J201" s="117" t="s">
        <v>12</v>
      </c>
      <c r="K201" s="114" t="s">
        <v>13</v>
      </c>
    </row>
    <row r="202" spans="1:11" ht="15">
      <c r="A202" s="118" t="s">
        <v>14</v>
      </c>
      <c r="B202" s="119" t="s">
        <v>15</v>
      </c>
      <c r="C202" s="157">
        <v>0</v>
      </c>
      <c r="D202" s="121">
        <v>1095</v>
      </c>
      <c r="E202" s="122" t="s">
        <v>16</v>
      </c>
      <c r="F202" s="121">
        <f>ROUND(D202*0.5,2)</f>
        <v>547.5</v>
      </c>
      <c r="G202" s="122" t="s">
        <v>17</v>
      </c>
      <c r="H202" s="121">
        <f>ROUND(D202*0.2,2)</f>
        <v>219</v>
      </c>
      <c r="I202" s="122" t="s">
        <v>18</v>
      </c>
      <c r="J202" s="121">
        <f>ROUND(D202*0.15,2)</f>
        <v>164.25</v>
      </c>
      <c r="K202" s="122" t="s">
        <v>19</v>
      </c>
    </row>
    <row r="203" spans="1:11" ht="15">
      <c r="A203" s="118" t="s">
        <v>20</v>
      </c>
      <c r="B203" s="119" t="s">
        <v>21</v>
      </c>
      <c r="C203" s="123">
        <f>$M$2</f>
        <v>0.09</v>
      </c>
      <c r="D203" s="121">
        <f>D$202*(1-C203)</f>
        <v>996.45</v>
      </c>
      <c r="E203" s="122" t="s">
        <v>22</v>
      </c>
      <c r="F203" s="121">
        <f>ROUND(D203*0.5,2)</f>
        <v>498.23</v>
      </c>
      <c r="G203" s="122" t="s">
        <v>23</v>
      </c>
      <c r="H203" s="121">
        <f>ROUND(D203*0.2,2)</f>
        <v>199.29</v>
      </c>
      <c r="I203" s="122" t="s">
        <v>24</v>
      </c>
      <c r="J203" s="121">
        <f>ROUND(D203*0.15,2)</f>
        <v>149.47</v>
      </c>
      <c r="K203" s="122" t="s">
        <v>25</v>
      </c>
    </row>
    <row r="204" spans="1:11" ht="15">
      <c r="A204" s="118" t="s">
        <v>26</v>
      </c>
      <c r="B204" s="119" t="s">
        <v>27</v>
      </c>
      <c r="C204" s="123">
        <f>$M$3</f>
        <v>0.23300000000000001</v>
      </c>
      <c r="D204" s="121">
        <f>D$202*(1-C204)</f>
        <v>839.86500000000001</v>
      </c>
      <c r="E204" s="122" t="s">
        <v>28</v>
      </c>
      <c r="F204" s="121">
        <f>ROUND(D204*0.5,2)</f>
        <v>419.93</v>
      </c>
      <c r="G204" s="122" t="s">
        <v>29</v>
      </c>
      <c r="H204" s="121">
        <f>ROUND(D204*0.2,2)</f>
        <v>167.97</v>
      </c>
      <c r="I204" s="122" t="s">
        <v>30</v>
      </c>
      <c r="J204" s="121">
        <f>ROUND(D204*0.15,2)</f>
        <v>125.98</v>
      </c>
      <c r="K204" s="122" t="s">
        <v>31</v>
      </c>
    </row>
    <row r="205" spans="1:11" ht="15">
      <c r="A205" s="124" t="s">
        <v>32</v>
      </c>
      <c r="B205" s="119" t="s">
        <v>33</v>
      </c>
      <c r="C205" s="123">
        <f>$M$4</f>
        <v>0.377</v>
      </c>
      <c r="D205" s="121">
        <f>D$202*(1-C205)</f>
        <v>682.18499999999995</v>
      </c>
      <c r="E205" s="122" t="s">
        <v>34</v>
      </c>
      <c r="F205" s="121">
        <f>ROUND(D205*0.5,2)</f>
        <v>341.09</v>
      </c>
      <c r="G205" s="122" t="s">
        <v>35</v>
      </c>
      <c r="H205" s="121">
        <f>ROUND(D205*0.2,2)</f>
        <v>136.44</v>
      </c>
      <c r="I205" s="122" t="s">
        <v>36</v>
      </c>
      <c r="J205" s="121">
        <f>ROUND(D205*0.15,2)</f>
        <v>102.33</v>
      </c>
      <c r="K205" s="122" t="s">
        <v>37</v>
      </c>
    </row>
    <row r="206" spans="1:11" ht="15">
      <c r="A206" s="348" t="s">
        <v>38</v>
      </c>
      <c r="B206" s="348"/>
      <c r="C206" s="352"/>
      <c r="D206" s="121">
        <v>600</v>
      </c>
      <c r="E206" s="119" t="s">
        <v>39</v>
      </c>
      <c r="F206" s="337" t="s">
        <v>40</v>
      </c>
      <c r="G206" s="337"/>
      <c r="H206" s="337" t="s">
        <v>40</v>
      </c>
      <c r="I206" s="337"/>
      <c r="J206" s="337" t="s">
        <v>40</v>
      </c>
      <c r="K206" s="337"/>
    </row>
    <row r="207" spans="1:11" ht="15">
      <c r="A207" s="348" t="s">
        <v>41</v>
      </c>
      <c r="B207" s="348"/>
      <c r="C207" s="352"/>
      <c r="D207" s="121">
        <v>874.5</v>
      </c>
      <c r="E207" s="119" t="s">
        <v>42</v>
      </c>
      <c r="F207" s="337"/>
      <c r="G207" s="337"/>
      <c r="H207" s="337"/>
      <c r="I207" s="337"/>
      <c r="J207" s="337"/>
      <c r="K207" s="337"/>
    </row>
    <row r="208" spans="1:11" ht="15">
      <c r="A208" s="111" t="s">
        <v>43</v>
      </c>
      <c r="B208" s="125"/>
      <c r="C208" s="125"/>
      <c r="D208" s="126"/>
      <c r="E208" s="127"/>
      <c r="F208" s="128"/>
      <c r="G208" s="128"/>
      <c r="H208" s="128"/>
      <c r="I208" s="128"/>
      <c r="J208" s="128"/>
      <c r="K208" s="128"/>
    </row>
    <row r="209" spans="1:11" ht="15">
      <c r="A209" s="111" t="s">
        <v>468</v>
      </c>
      <c r="B209" s="108"/>
      <c r="C209" s="109"/>
      <c r="D209" s="110"/>
      <c r="E209" s="108"/>
      <c r="F209" s="110"/>
      <c r="G209" s="108"/>
      <c r="H209" s="110"/>
      <c r="I209" s="108"/>
      <c r="J209" s="110"/>
      <c r="K209" s="108"/>
    </row>
    <row r="210" spans="1:11" ht="15">
      <c r="A210" s="125"/>
      <c r="B210" s="125"/>
      <c r="C210" s="125"/>
      <c r="D210" s="126"/>
      <c r="E210" s="127"/>
      <c r="F210" s="128"/>
      <c r="G210" s="128"/>
      <c r="H210" s="128"/>
      <c r="I210" s="128"/>
      <c r="J210" s="128"/>
      <c r="K210" s="128"/>
    </row>
    <row r="211" spans="1:11" ht="15">
      <c r="A211" s="111" t="s">
        <v>78</v>
      </c>
      <c r="B211" s="111"/>
      <c r="C211" s="111"/>
      <c r="D211" s="110"/>
      <c r="E211" s="108"/>
      <c r="F211" s="110"/>
      <c r="G211" s="108"/>
      <c r="H211" s="110"/>
      <c r="I211" s="108"/>
      <c r="J211" s="110"/>
      <c r="K211" s="108"/>
    </row>
    <row r="212" spans="1:11" ht="15">
      <c r="A212" s="111" t="s">
        <v>79</v>
      </c>
      <c r="B212" s="111"/>
      <c r="C212" s="111"/>
      <c r="D212" s="110"/>
      <c r="E212" s="108"/>
      <c r="F212" s="110"/>
      <c r="G212" s="108"/>
      <c r="H212" s="110"/>
      <c r="I212" s="108"/>
      <c r="J212" s="110"/>
      <c r="K212" s="113"/>
    </row>
    <row r="213" spans="1:11" ht="15.75" customHeight="1">
      <c r="A213" s="340" t="str">
        <f>+$A$198</f>
        <v>First year of maintenance is included in the purchase price.  *Premium Support requires an active Maintenance Agreement.</v>
      </c>
      <c r="B213" s="340"/>
      <c r="C213" s="341"/>
      <c r="D213" s="304" t="s">
        <v>80</v>
      </c>
      <c r="E213" s="304"/>
      <c r="F213" s="304"/>
      <c r="G213" s="304"/>
      <c r="H213" s="305"/>
      <c r="I213" s="305"/>
      <c r="J213" s="304"/>
      <c r="K213" s="304"/>
    </row>
    <row r="214" spans="1:11" ht="12.75" customHeight="1">
      <c r="A214" s="340"/>
      <c r="B214" s="340"/>
      <c r="C214" s="341"/>
      <c r="D214" s="306" t="s">
        <v>4</v>
      </c>
      <c r="E214" s="307"/>
      <c r="F214" s="306" t="s">
        <v>5</v>
      </c>
      <c r="G214" s="307"/>
      <c r="H214" s="308" t="s">
        <v>6</v>
      </c>
      <c r="I214" s="309"/>
      <c r="J214" s="313" t="s">
        <v>7</v>
      </c>
      <c r="K214" s="314"/>
    </row>
    <row r="215" spans="1:11" ht="15">
      <c r="A215" s="342"/>
      <c r="B215" s="342"/>
      <c r="C215" s="343"/>
      <c r="D215" s="310" t="s">
        <v>8</v>
      </c>
      <c r="E215" s="311"/>
      <c r="F215" s="310" t="s">
        <v>8</v>
      </c>
      <c r="G215" s="311"/>
      <c r="H215" s="308"/>
      <c r="I215" s="309"/>
      <c r="J215" s="315"/>
      <c r="K215" s="316"/>
    </row>
    <row r="216" spans="1:11" ht="60">
      <c r="A216" s="158" t="s">
        <v>81</v>
      </c>
      <c r="B216" s="332" t="s">
        <v>10</v>
      </c>
      <c r="C216" s="333"/>
      <c r="D216" s="115" t="s">
        <v>82</v>
      </c>
      <c r="E216" s="116" t="s">
        <v>13</v>
      </c>
      <c r="F216" s="115" t="s">
        <v>12</v>
      </c>
      <c r="G216" s="116" t="s">
        <v>13</v>
      </c>
      <c r="H216" s="117" t="s">
        <v>82</v>
      </c>
      <c r="I216" s="114" t="s">
        <v>13</v>
      </c>
      <c r="J216" s="115" t="s">
        <v>12</v>
      </c>
      <c r="K216" s="116" t="s">
        <v>13</v>
      </c>
    </row>
    <row r="217" spans="1:11" ht="15">
      <c r="A217" s="119" t="s">
        <v>14</v>
      </c>
      <c r="B217" s="334" t="s">
        <v>15</v>
      </c>
      <c r="C217" s="335"/>
      <c r="D217" s="121"/>
      <c r="E217" s="143" t="s">
        <v>83</v>
      </c>
      <c r="F217" s="322" t="s">
        <v>84</v>
      </c>
      <c r="G217" s="322"/>
      <c r="H217" s="345" t="s">
        <v>85</v>
      </c>
      <c r="I217" s="347"/>
      <c r="J217" s="345" t="s">
        <v>86</v>
      </c>
      <c r="K217" s="347"/>
    </row>
    <row r="218" spans="1:11" ht="15">
      <c r="A218" s="124" t="s">
        <v>20</v>
      </c>
      <c r="B218" s="334" t="s">
        <v>21</v>
      </c>
      <c r="C218" s="335"/>
      <c r="D218" s="121"/>
      <c r="E218" s="143" t="s">
        <v>87</v>
      </c>
      <c r="F218" s="322"/>
      <c r="G218" s="322"/>
      <c r="H218" s="347"/>
      <c r="I218" s="347"/>
      <c r="J218" s="347"/>
      <c r="K218" s="347"/>
    </row>
    <row r="219" spans="1:11" ht="15">
      <c r="A219" s="124" t="s">
        <v>26</v>
      </c>
      <c r="B219" s="334" t="s">
        <v>27</v>
      </c>
      <c r="C219" s="335"/>
      <c r="D219" s="121"/>
      <c r="E219" s="143" t="s">
        <v>88</v>
      </c>
      <c r="F219" s="322"/>
      <c r="G219" s="322"/>
      <c r="H219" s="347"/>
      <c r="I219" s="347"/>
      <c r="J219" s="347"/>
      <c r="K219" s="347"/>
    </row>
    <row r="220" spans="1:11" ht="15">
      <c r="A220" s="124" t="s">
        <v>32</v>
      </c>
      <c r="B220" s="334" t="s">
        <v>33</v>
      </c>
      <c r="C220" s="335"/>
      <c r="D220" s="121"/>
      <c r="E220" s="143" t="s">
        <v>89</v>
      </c>
      <c r="F220" s="322"/>
      <c r="G220" s="322"/>
      <c r="H220" s="347"/>
      <c r="I220" s="347"/>
      <c r="J220" s="347"/>
      <c r="K220" s="347"/>
    </row>
    <row r="221" spans="1:11" ht="15">
      <c r="A221" s="111" t="s">
        <v>90</v>
      </c>
      <c r="B221" s="127"/>
      <c r="C221" s="129"/>
      <c r="D221" s="126"/>
      <c r="E221" s="130"/>
      <c r="F221" s="131"/>
      <c r="G221" s="131"/>
      <c r="H221" s="132"/>
      <c r="I221" s="132"/>
      <c r="J221" s="132"/>
      <c r="K221" s="132"/>
    </row>
    <row r="222" spans="1:11" ht="15">
      <c r="A222" s="111" t="s">
        <v>91</v>
      </c>
      <c r="B222" s="108"/>
      <c r="C222" s="109"/>
      <c r="D222" s="110"/>
      <c r="E222" s="108"/>
      <c r="F222" s="110"/>
      <c r="G222" s="108"/>
      <c r="H222" s="110"/>
      <c r="I222" s="108"/>
      <c r="J222" s="110"/>
      <c r="K222" s="108"/>
    </row>
    <row r="223" spans="1:11" ht="15">
      <c r="A223" s="111"/>
      <c r="B223" s="108"/>
      <c r="C223" s="109"/>
      <c r="D223" s="110"/>
      <c r="E223" s="108"/>
      <c r="F223" s="110"/>
      <c r="G223" s="108"/>
      <c r="H223" s="110"/>
      <c r="I223" s="108"/>
      <c r="J223" s="110"/>
      <c r="K223" s="108"/>
    </row>
    <row r="224" spans="1:11" ht="15">
      <c r="A224" s="111"/>
      <c r="B224" s="108"/>
      <c r="C224" s="109"/>
      <c r="D224" s="110"/>
      <c r="E224" s="108"/>
      <c r="F224" s="110"/>
      <c r="G224" s="108"/>
      <c r="H224" s="110"/>
      <c r="I224" s="108"/>
      <c r="J224" s="110"/>
      <c r="K224" s="108"/>
    </row>
    <row r="225" spans="1:11" ht="15">
      <c r="A225" s="111" t="s">
        <v>102</v>
      </c>
      <c r="B225" s="111"/>
      <c r="C225" s="111"/>
      <c r="D225" s="112"/>
      <c r="E225" s="108"/>
      <c r="F225" s="110"/>
      <c r="G225" s="108"/>
      <c r="H225" s="110"/>
      <c r="I225" s="108"/>
      <c r="J225" s="110"/>
      <c r="K225" s="113"/>
    </row>
    <row r="226" spans="1:11" ht="15.75" customHeight="1">
      <c r="A226" s="340" t="str">
        <f>+$A$198</f>
        <v>First year of maintenance is included in the purchase price.  *Premium Support requires an active Maintenance Agreement.</v>
      </c>
      <c r="B226" s="340"/>
      <c r="C226" s="341"/>
      <c r="D226" s="304" t="s">
        <v>3</v>
      </c>
      <c r="E226" s="304"/>
      <c r="F226" s="304"/>
      <c r="G226" s="304"/>
      <c r="H226" s="305"/>
      <c r="I226" s="305"/>
      <c r="J226" s="304"/>
      <c r="K226" s="304"/>
    </row>
    <row r="227" spans="1:11" ht="12.75" customHeight="1">
      <c r="A227" s="340"/>
      <c r="B227" s="340"/>
      <c r="C227" s="341"/>
      <c r="D227" s="306" t="s">
        <v>4</v>
      </c>
      <c r="E227" s="307"/>
      <c r="F227" s="306" t="s">
        <v>5</v>
      </c>
      <c r="G227" s="307"/>
      <c r="H227" s="308" t="s">
        <v>6</v>
      </c>
      <c r="I227" s="309"/>
      <c r="J227" s="313" t="s">
        <v>7</v>
      </c>
      <c r="K227" s="314"/>
    </row>
    <row r="228" spans="1:11" ht="15">
      <c r="A228" s="340"/>
      <c r="B228" s="340"/>
      <c r="C228" s="341"/>
      <c r="D228" s="310" t="s">
        <v>8</v>
      </c>
      <c r="E228" s="311"/>
      <c r="F228" s="310" t="s">
        <v>8</v>
      </c>
      <c r="G228" s="311"/>
      <c r="H228" s="308"/>
      <c r="I228" s="309"/>
      <c r="J228" s="315"/>
      <c r="K228" s="316"/>
    </row>
    <row r="229" spans="1:11" ht="15">
      <c r="A229" s="340"/>
      <c r="B229" s="340"/>
      <c r="C229" s="341"/>
      <c r="D229" s="159"/>
      <c r="E229" s="160"/>
      <c r="F229" s="159"/>
      <c r="G229" s="160"/>
      <c r="H229" s="161"/>
      <c r="I229" s="156"/>
      <c r="J229" s="162"/>
      <c r="K229" s="163"/>
    </row>
    <row r="230" spans="1:11" ht="15">
      <c r="A230" s="342"/>
      <c r="B230" s="342"/>
      <c r="C230" s="343"/>
      <c r="D230" s="115" t="s">
        <v>12</v>
      </c>
      <c r="E230" s="116" t="s">
        <v>13</v>
      </c>
      <c r="F230" s="115" t="s">
        <v>12</v>
      </c>
      <c r="G230" s="116" t="s">
        <v>13</v>
      </c>
      <c r="H230" s="117" t="s">
        <v>12</v>
      </c>
      <c r="I230" s="114" t="s">
        <v>13</v>
      </c>
      <c r="J230" s="115" t="s">
        <v>12</v>
      </c>
      <c r="K230" s="116" t="s">
        <v>13</v>
      </c>
    </row>
    <row r="231" spans="1:11" ht="15">
      <c r="A231" s="328" t="s">
        <v>104</v>
      </c>
      <c r="B231" s="329"/>
      <c r="C231" s="330"/>
      <c r="D231" s="135">
        <v>549</v>
      </c>
      <c r="E231" s="119" t="s">
        <v>105</v>
      </c>
      <c r="F231" s="121">
        <f>ROUND(D231*0.5,2)</f>
        <v>274.5</v>
      </c>
      <c r="G231" s="119" t="s">
        <v>106</v>
      </c>
      <c r="H231" s="135">
        <f>D231*0.2</f>
        <v>109.80000000000001</v>
      </c>
      <c r="I231" s="119" t="s">
        <v>107</v>
      </c>
      <c r="J231" s="121">
        <f>ROUND(D231*0.15,2)</f>
        <v>82.35</v>
      </c>
      <c r="K231" s="119" t="s">
        <v>108</v>
      </c>
    </row>
    <row r="232" spans="1:11" ht="15">
      <c r="A232" s="328" t="s">
        <v>109</v>
      </c>
      <c r="B232" s="329"/>
      <c r="C232" s="330"/>
      <c r="D232" s="346" t="s">
        <v>40</v>
      </c>
      <c r="E232" s="346"/>
      <c r="F232" s="121">
        <v>822</v>
      </c>
      <c r="G232" s="119" t="s">
        <v>110</v>
      </c>
      <c r="H232" s="135">
        <v>265.95999999999998</v>
      </c>
      <c r="I232" s="119" t="s">
        <v>111</v>
      </c>
      <c r="J232" s="135">
        <v>199.47</v>
      </c>
      <c r="K232" s="119" t="s">
        <v>112</v>
      </c>
    </row>
    <row r="233" spans="1:11" ht="15">
      <c r="A233" s="136"/>
      <c r="B233" s="111"/>
      <c r="C233" s="111"/>
      <c r="D233" s="137"/>
      <c r="E233" s="127"/>
      <c r="F233" s="126"/>
      <c r="G233" s="127"/>
      <c r="H233" s="137"/>
      <c r="I233" s="127"/>
      <c r="J233" s="137"/>
      <c r="K233" s="127"/>
    </row>
    <row r="234" spans="1:11" ht="15">
      <c r="A234" s="136"/>
      <c r="B234" s="111"/>
      <c r="C234" s="111"/>
      <c r="D234" s="108"/>
      <c r="E234" s="108"/>
      <c r="F234" s="108"/>
      <c r="G234" s="108"/>
      <c r="H234" s="108"/>
      <c r="I234" s="108"/>
      <c r="J234" s="108"/>
      <c r="K234" s="108"/>
    </row>
    <row r="235" spans="1:11" ht="15">
      <c r="A235" s="111" t="s">
        <v>113</v>
      </c>
      <c r="B235" s="108"/>
      <c r="C235" s="109"/>
      <c r="D235" s="110"/>
      <c r="E235" s="108"/>
      <c r="F235" s="110"/>
      <c r="G235" s="108"/>
      <c r="H235" s="110"/>
      <c r="I235" s="108"/>
      <c r="J235" s="110"/>
      <c r="K235" s="108"/>
    </row>
    <row r="236" spans="1:11" ht="15">
      <c r="A236" s="111" t="s">
        <v>114</v>
      </c>
      <c r="B236" s="111"/>
      <c r="C236" s="111"/>
      <c r="D236" s="112"/>
      <c r="E236" s="108"/>
      <c r="F236" s="110"/>
      <c r="G236" s="108"/>
      <c r="H236" s="110"/>
      <c r="I236" s="108"/>
      <c r="J236" s="110"/>
      <c r="K236" s="113"/>
    </row>
    <row r="237" spans="1:11" ht="15.75" customHeight="1">
      <c r="A237" s="340" t="str">
        <f>+$A$198</f>
        <v>First year of maintenance is included in the purchase price.  *Premium Support requires an active Maintenance Agreement.</v>
      </c>
      <c r="B237" s="340"/>
      <c r="C237" s="341"/>
      <c r="D237" s="304" t="s">
        <v>80</v>
      </c>
      <c r="E237" s="304"/>
      <c r="F237" s="304"/>
      <c r="G237" s="304"/>
      <c r="H237" s="305"/>
      <c r="I237" s="305"/>
      <c r="J237" s="304"/>
      <c r="K237" s="304"/>
    </row>
    <row r="238" spans="1:11" ht="12.75" customHeight="1">
      <c r="A238" s="340"/>
      <c r="B238" s="340"/>
      <c r="C238" s="341"/>
      <c r="D238" s="306" t="s">
        <v>4</v>
      </c>
      <c r="E238" s="307"/>
      <c r="F238" s="306" t="s">
        <v>5</v>
      </c>
      <c r="G238" s="307"/>
      <c r="H238" s="308" t="s">
        <v>6</v>
      </c>
      <c r="I238" s="309"/>
      <c r="J238" s="313" t="s">
        <v>7</v>
      </c>
      <c r="K238" s="314"/>
    </row>
    <row r="239" spans="1:11" ht="15">
      <c r="A239" s="340"/>
      <c r="B239" s="340"/>
      <c r="C239" s="341"/>
      <c r="D239" s="310" t="s">
        <v>8</v>
      </c>
      <c r="E239" s="311"/>
      <c r="F239" s="310" t="s">
        <v>8</v>
      </c>
      <c r="G239" s="311"/>
      <c r="H239" s="308"/>
      <c r="I239" s="309"/>
      <c r="J239" s="315"/>
      <c r="K239" s="316"/>
    </row>
    <row r="240" spans="1:11" ht="15">
      <c r="A240" s="342"/>
      <c r="B240" s="342"/>
      <c r="C240" s="343"/>
      <c r="D240" s="115" t="s">
        <v>12</v>
      </c>
      <c r="E240" s="116" t="s">
        <v>13</v>
      </c>
      <c r="F240" s="115" t="s">
        <v>12</v>
      </c>
      <c r="G240" s="116" t="s">
        <v>13</v>
      </c>
      <c r="H240" s="115" t="s">
        <v>12</v>
      </c>
      <c r="I240" s="114" t="s">
        <v>13</v>
      </c>
      <c r="J240" s="115" t="s">
        <v>12</v>
      </c>
      <c r="K240" s="116" t="s">
        <v>13</v>
      </c>
    </row>
    <row r="241" spans="1:11" ht="15">
      <c r="A241" s="328" t="s">
        <v>104</v>
      </c>
      <c r="B241" s="329"/>
      <c r="C241" s="330"/>
      <c r="D241" s="135"/>
      <c r="E241" s="119" t="s">
        <v>115</v>
      </c>
      <c r="F241" s="344" t="s">
        <v>116</v>
      </c>
      <c r="G241" s="344"/>
      <c r="H241" s="344" t="s">
        <v>117</v>
      </c>
      <c r="I241" s="344"/>
      <c r="J241" s="344" t="s">
        <v>118</v>
      </c>
      <c r="K241" s="344"/>
    </row>
    <row r="242" spans="1:11" ht="15">
      <c r="A242" s="111" t="s">
        <v>90</v>
      </c>
      <c r="B242" s="111"/>
      <c r="C242" s="111"/>
      <c r="D242" s="137"/>
      <c r="E242" s="127"/>
      <c r="F242" s="142"/>
      <c r="G242" s="142"/>
      <c r="H242" s="142"/>
      <c r="I242" s="142"/>
      <c r="J242" s="142"/>
      <c r="K242" s="142"/>
    </row>
    <row r="243" spans="1:11" ht="15">
      <c r="A243" s="111" t="s">
        <v>91</v>
      </c>
      <c r="B243" s="108"/>
      <c r="C243" s="109"/>
      <c r="D243" s="110"/>
      <c r="E243" s="108"/>
      <c r="F243" s="110"/>
      <c r="G243" s="108"/>
      <c r="H243" s="110"/>
      <c r="I243" s="108"/>
      <c r="J243" s="110"/>
      <c r="K243" s="108"/>
    </row>
    <row r="244" spans="1:11" ht="15">
      <c r="A244" s="111"/>
      <c r="B244" s="108"/>
      <c r="C244" s="109"/>
      <c r="D244" s="110"/>
      <c r="E244" s="108"/>
      <c r="F244" s="110"/>
      <c r="G244" s="108"/>
      <c r="H244" s="110"/>
      <c r="I244" s="108"/>
      <c r="J244" s="110"/>
      <c r="K244" s="108"/>
    </row>
    <row r="245" spans="1:11" ht="15">
      <c r="A245" s="111"/>
      <c r="B245" s="108"/>
      <c r="C245" s="109"/>
      <c r="D245" s="110"/>
      <c r="E245" s="108"/>
      <c r="F245" s="110"/>
      <c r="G245" s="108"/>
      <c r="H245" s="110"/>
      <c r="I245" s="108"/>
      <c r="J245" s="110"/>
      <c r="K245" s="108"/>
    </row>
    <row r="246" spans="1:11" ht="15">
      <c r="A246" s="111" t="s">
        <v>130</v>
      </c>
      <c r="B246" s="111"/>
      <c r="C246" s="111"/>
      <c r="D246" s="112"/>
      <c r="E246" s="108"/>
      <c r="F246" s="110"/>
      <c r="G246" s="108"/>
      <c r="H246" s="110"/>
      <c r="I246" s="108"/>
      <c r="J246" s="110"/>
      <c r="K246" s="113"/>
    </row>
    <row r="247" spans="1:11" ht="15.75" customHeight="1">
      <c r="A247" s="340" t="str">
        <f>+$A$198</f>
        <v>First year of maintenance is included in the purchase price.  *Premium Support requires an active Maintenance Agreement.</v>
      </c>
      <c r="B247" s="340"/>
      <c r="C247" s="341"/>
      <c r="D247" s="304" t="s">
        <v>3</v>
      </c>
      <c r="E247" s="304"/>
      <c r="F247" s="304"/>
      <c r="G247" s="304"/>
      <c r="H247" s="305"/>
      <c r="I247" s="305"/>
      <c r="J247" s="304"/>
      <c r="K247" s="304"/>
    </row>
    <row r="248" spans="1:11" ht="12.75" customHeight="1">
      <c r="A248" s="340"/>
      <c r="B248" s="340"/>
      <c r="C248" s="341"/>
      <c r="D248" s="306" t="s">
        <v>4</v>
      </c>
      <c r="E248" s="307"/>
      <c r="F248" s="306" t="s">
        <v>5</v>
      </c>
      <c r="G248" s="307"/>
      <c r="H248" s="308" t="s">
        <v>6</v>
      </c>
      <c r="I248" s="309"/>
      <c r="J248" s="313" t="s">
        <v>7</v>
      </c>
      <c r="K248" s="314"/>
    </row>
    <row r="249" spans="1:11" ht="15">
      <c r="A249" s="342"/>
      <c r="B249" s="342"/>
      <c r="C249" s="343"/>
      <c r="D249" s="310" t="s">
        <v>8</v>
      </c>
      <c r="E249" s="311"/>
      <c r="F249" s="310" t="s">
        <v>8</v>
      </c>
      <c r="G249" s="311"/>
      <c r="H249" s="308"/>
      <c r="I249" s="309"/>
      <c r="J249" s="315"/>
      <c r="K249" s="316"/>
    </row>
    <row r="250" spans="1:11" ht="30">
      <c r="A250" s="114" t="s">
        <v>81</v>
      </c>
      <c r="B250" s="114" t="s">
        <v>10</v>
      </c>
      <c r="C250" s="114" t="s">
        <v>11</v>
      </c>
      <c r="D250" s="115" t="s">
        <v>12</v>
      </c>
      <c r="E250" s="116" t="s">
        <v>13</v>
      </c>
      <c r="F250" s="115" t="s">
        <v>12</v>
      </c>
      <c r="G250" s="116" t="s">
        <v>13</v>
      </c>
      <c r="H250" s="117" t="s">
        <v>12</v>
      </c>
      <c r="I250" s="114" t="s">
        <v>13</v>
      </c>
      <c r="J250" s="115" t="s">
        <v>12</v>
      </c>
      <c r="K250" s="116" t="s">
        <v>13</v>
      </c>
    </row>
    <row r="251" spans="1:11" ht="15">
      <c r="A251" s="118" t="s">
        <v>131</v>
      </c>
      <c r="B251" s="119" t="s">
        <v>15</v>
      </c>
      <c r="C251" s="120">
        <v>0</v>
      </c>
      <c r="D251" s="121">
        <v>99.95</v>
      </c>
      <c r="E251" s="143" t="s">
        <v>132</v>
      </c>
      <c r="F251" s="121">
        <f>ROUND(D251*0.5,2)</f>
        <v>49.98</v>
      </c>
      <c r="G251" s="143" t="s">
        <v>133</v>
      </c>
      <c r="H251" s="121">
        <f>ROUND(D251*0.2,2)</f>
        <v>19.989999999999998</v>
      </c>
      <c r="I251" s="143" t="s">
        <v>134</v>
      </c>
      <c r="J251" s="144" t="s">
        <v>40</v>
      </c>
      <c r="K251" s="143" t="s">
        <v>40</v>
      </c>
    </row>
    <row r="252" spans="1:11" ht="15">
      <c r="A252" s="118" t="s">
        <v>135</v>
      </c>
      <c r="B252" s="119" t="s">
        <v>21</v>
      </c>
      <c r="C252" s="123">
        <f>$M$2</f>
        <v>0.09</v>
      </c>
      <c r="D252" s="121">
        <f>$D$251*(1-C252)</f>
        <v>90.95450000000001</v>
      </c>
      <c r="E252" s="143" t="s">
        <v>136</v>
      </c>
      <c r="F252" s="121">
        <f>ROUND(D252*0.5,2)</f>
        <v>45.48</v>
      </c>
      <c r="G252" s="143" t="s">
        <v>137</v>
      </c>
      <c r="H252" s="121">
        <f>ROUND(D252*0.2,2)</f>
        <v>18.190000000000001</v>
      </c>
      <c r="I252" s="143" t="s">
        <v>138</v>
      </c>
      <c r="J252" s="121">
        <f>ROUND(D252*0.15,2)</f>
        <v>13.64</v>
      </c>
      <c r="K252" s="143" t="s">
        <v>139</v>
      </c>
    </row>
    <row r="253" spans="1:11" ht="15">
      <c r="A253" s="124" t="s">
        <v>140</v>
      </c>
      <c r="B253" s="119" t="s">
        <v>27</v>
      </c>
      <c r="C253" s="123">
        <f>$M$3</f>
        <v>0.23300000000000001</v>
      </c>
      <c r="D253" s="121">
        <f>$D$251*(1-C253)</f>
        <v>76.661650000000009</v>
      </c>
      <c r="E253" s="143" t="s">
        <v>141</v>
      </c>
      <c r="F253" s="121">
        <f>ROUND(D253*0.5,2)</f>
        <v>38.33</v>
      </c>
      <c r="G253" s="143" t="s">
        <v>142</v>
      </c>
      <c r="H253" s="121">
        <f>ROUND(D253*0.2,2)</f>
        <v>15.33</v>
      </c>
      <c r="I253" s="143" t="s">
        <v>143</v>
      </c>
      <c r="J253" s="121">
        <f>ROUND(D253*0.15,2)</f>
        <v>11.5</v>
      </c>
      <c r="K253" s="143" t="s">
        <v>144</v>
      </c>
    </row>
    <row r="254" spans="1:11" ht="15">
      <c r="A254" s="124" t="s">
        <v>145</v>
      </c>
      <c r="B254" s="119" t="s">
        <v>33</v>
      </c>
      <c r="C254" s="123">
        <f>$M$4</f>
        <v>0.377</v>
      </c>
      <c r="D254" s="121">
        <f>$D$251*(1-C254)</f>
        <v>62.26885</v>
      </c>
      <c r="E254" s="143" t="s">
        <v>146</v>
      </c>
      <c r="F254" s="121">
        <f>ROUND(D254*0.5,2)</f>
        <v>31.13</v>
      </c>
      <c r="G254" s="143" t="s">
        <v>147</v>
      </c>
      <c r="H254" s="121">
        <f>ROUND(D254*0.2,2)</f>
        <v>12.45</v>
      </c>
      <c r="I254" s="143" t="s">
        <v>148</v>
      </c>
      <c r="J254" s="121">
        <f>ROUND(D254*0.15,2)</f>
        <v>9.34</v>
      </c>
      <c r="K254" s="143" t="s">
        <v>149</v>
      </c>
    </row>
    <row r="255" spans="1:11" ht="15">
      <c r="A255" s="353" t="s">
        <v>561</v>
      </c>
      <c r="B255" s="354"/>
      <c r="C255" s="355"/>
      <c r="D255" s="212">
        <v>233.88</v>
      </c>
      <c r="E255" s="143" t="s">
        <v>562</v>
      </c>
      <c r="F255" s="121">
        <v>116.94</v>
      </c>
      <c r="G255" s="143" t="s">
        <v>563</v>
      </c>
      <c r="H255" s="121">
        <v>46.78</v>
      </c>
      <c r="I255" s="143" t="s">
        <v>564</v>
      </c>
      <c r="J255" s="218" t="s">
        <v>40</v>
      </c>
      <c r="K255" s="143" t="s">
        <v>40</v>
      </c>
    </row>
    <row r="256" spans="1:11" ht="15">
      <c r="A256" s="111" t="e">
        <f>#REF!</f>
        <v>#REF!</v>
      </c>
      <c r="B256" s="127"/>
      <c r="C256" s="129"/>
      <c r="D256" s="145"/>
      <c r="E256" s="130"/>
      <c r="F256" s="145"/>
      <c r="G256" s="130"/>
      <c r="H256" s="145"/>
      <c r="I256" s="130"/>
      <c r="J256" s="145"/>
      <c r="K256" s="130"/>
    </row>
    <row r="257" spans="1:11" ht="15">
      <c r="A257" s="108"/>
      <c r="B257" s="108"/>
      <c r="C257" s="109"/>
      <c r="D257" s="110"/>
      <c r="E257" s="108"/>
      <c r="F257" s="110"/>
      <c r="G257" s="108"/>
      <c r="H257" s="110"/>
      <c r="I257" s="108"/>
      <c r="J257" s="110"/>
      <c r="K257" s="108"/>
    </row>
    <row r="258" spans="1:11" ht="15">
      <c r="A258" s="111" t="s">
        <v>130</v>
      </c>
      <c r="B258" s="111"/>
      <c r="C258" s="111"/>
      <c r="D258" s="112"/>
      <c r="E258" s="108"/>
      <c r="F258" s="110"/>
      <c r="G258" s="108"/>
      <c r="H258" s="110"/>
      <c r="I258" s="108"/>
      <c r="J258" s="110"/>
      <c r="K258" s="113"/>
    </row>
    <row r="259" spans="1:11" ht="15">
      <c r="A259" s="111" t="s">
        <v>114</v>
      </c>
      <c r="B259" s="111"/>
      <c r="C259" s="111"/>
      <c r="D259" s="112"/>
      <c r="E259" s="108"/>
      <c r="F259" s="110"/>
      <c r="G259" s="108"/>
      <c r="H259" s="110"/>
      <c r="I259" s="108"/>
      <c r="J259" s="110"/>
      <c r="K259" s="113"/>
    </row>
    <row r="260" spans="1:11" ht="15.75" customHeight="1">
      <c r="A260" s="340" t="str">
        <f>+$A$198</f>
        <v>First year of maintenance is included in the purchase price.  *Premium Support requires an active Maintenance Agreement.</v>
      </c>
      <c r="B260" s="340"/>
      <c r="C260" s="341"/>
      <c r="D260" s="304" t="s">
        <v>3</v>
      </c>
      <c r="E260" s="304"/>
      <c r="F260" s="304"/>
      <c r="G260" s="304"/>
      <c r="H260" s="305"/>
      <c r="I260" s="305"/>
      <c r="J260" s="304"/>
      <c r="K260" s="304"/>
    </row>
    <row r="261" spans="1:11" ht="12.75" customHeight="1">
      <c r="A261" s="340"/>
      <c r="B261" s="340"/>
      <c r="C261" s="341"/>
      <c r="D261" s="306" t="s">
        <v>4</v>
      </c>
      <c r="E261" s="307"/>
      <c r="F261" s="306" t="s">
        <v>5</v>
      </c>
      <c r="G261" s="307"/>
      <c r="H261" s="308" t="s">
        <v>6</v>
      </c>
      <c r="I261" s="309"/>
      <c r="J261" s="313" t="s">
        <v>7</v>
      </c>
      <c r="K261" s="314"/>
    </row>
    <row r="262" spans="1:11" ht="15">
      <c r="A262" s="342"/>
      <c r="B262" s="342"/>
      <c r="C262" s="343"/>
      <c r="D262" s="310" t="s">
        <v>8</v>
      </c>
      <c r="E262" s="311"/>
      <c r="F262" s="310" t="s">
        <v>8</v>
      </c>
      <c r="G262" s="311"/>
      <c r="H262" s="308"/>
      <c r="I262" s="309"/>
      <c r="J262" s="315"/>
      <c r="K262" s="316"/>
    </row>
    <row r="263" spans="1:11" ht="30">
      <c r="A263" s="114" t="s">
        <v>81</v>
      </c>
      <c r="B263" s="322" t="s">
        <v>10</v>
      </c>
      <c r="C263" s="322"/>
      <c r="D263" s="115" t="s">
        <v>12</v>
      </c>
      <c r="E263" s="116" t="s">
        <v>13</v>
      </c>
      <c r="F263" s="115" t="s">
        <v>12</v>
      </c>
      <c r="G263" s="116" t="s">
        <v>13</v>
      </c>
      <c r="H263" s="117" t="s">
        <v>12</v>
      </c>
      <c r="I263" s="114" t="s">
        <v>13</v>
      </c>
      <c r="J263" s="115" t="s">
        <v>12</v>
      </c>
      <c r="K263" s="116" t="s">
        <v>13</v>
      </c>
    </row>
    <row r="264" spans="1:11" ht="15">
      <c r="A264" s="118" t="s">
        <v>131</v>
      </c>
      <c r="B264" s="336" t="s">
        <v>15</v>
      </c>
      <c r="C264" s="336"/>
      <c r="D264" s="121"/>
      <c r="E264" s="143" t="s">
        <v>150</v>
      </c>
      <c r="F264" s="327" t="s">
        <v>116</v>
      </c>
      <c r="G264" s="337"/>
      <c r="H264" s="327" t="s">
        <v>117</v>
      </c>
      <c r="I264" s="337"/>
      <c r="J264" s="327" t="s">
        <v>118</v>
      </c>
      <c r="K264" s="337"/>
    </row>
    <row r="265" spans="1:11" ht="15">
      <c r="A265" s="118" t="s">
        <v>135</v>
      </c>
      <c r="B265" s="336" t="s">
        <v>21</v>
      </c>
      <c r="C265" s="336"/>
      <c r="D265" s="121"/>
      <c r="E265" s="143" t="s">
        <v>151</v>
      </c>
      <c r="F265" s="337"/>
      <c r="G265" s="337"/>
      <c r="H265" s="337"/>
      <c r="I265" s="337"/>
      <c r="J265" s="337"/>
      <c r="K265" s="337"/>
    </row>
    <row r="266" spans="1:11" ht="15">
      <c r="A266" s="124" t="s">
        <v>140</v>
      </c>
      <c r="B266" s="336" t="s">
        <v>27</v>
      </c>
      <c r="C266" s="336"/>
      <c r="D266" s="121"/>
      <c r="E266" s="143" t="s">
        <v>152</v>
      </c>
      <c r="F266" s="337"/>
      <c r="G266" s="337"/>
      <c r="H266" s="337"/>
      <c r="I266" s="337"/>
      <c r="J266" s="337"/>
      <c r="K266" s="337"/>
    </row>
    <row r="267" spans="1:11" ht="15">
      <c r="A267" s="124" t="s">
        <v>145</v>
      </c>
      <c r="B267" s="336" t="s">
        <v>33</v>
      </c>
      <c r="C267" s="336"/>
      <c r="D267" s="121"/>
      <c r="E267" s="143" t="s">
        <v>153</v>
      </c>
      <c r="F267" s="337"/>
      <c r="G267" s="337"/>
      <c r="H267" s="337"/>
      <c r="I267" s="337"/>
      <c r="J267" s="337"/>
      <c r="K267" s="337"/>
    </row>
    <row r="268" spans="1:11" ht="15">
      <c r="A268" s="111" t="e">
        <f>#REF!</f>
        <v>#REF!</v>
      </c>
      <c r="B268" s="127"/>
      <c r="C268" s="127"/>
      <c r="D268" s="145"/>
      <c r="E268" s="130"/>
      <c r="F268" s="128"/>
      <c r="G268" s="128"/>
      <c r="H268" s="128"/>
      <c r="I268" s="128"/>
      <c r="J268" s="128"/>
      <c r="K268" s="128"/>
    </row>
    <row r="269" spans="1:11" ht="15">
      <c r="A269" s="111" t="s">
        <v>90</v>
      </c>
      <c r="B269" s="127"/>
      <c r="C269" s="129"/>
      <c r="D269" s="126"/>
      <c r="E269" s="130"/>
      <c r="F269" s="146"/>
      <c r="G269" s="146"/>
      <c r="H269" s="146"/>
      <c r="I269" s="146"/>
      <c r="J269" s="146"/>
      <c r="K269" s="146"/>
    </row>
    <row r="270" spans="1:11" ht="15">
      <c r="A270" s="111" t="s">
        <v>91</v>
      </c>
      <c r="B270" s="127"/>
      <c r="C270" s="129"/>
      <c r="D270" s="126"/>
      <c r="E270" s="130"/>
      <c r="F270" s="146"/>
      <c r="G270" s="146"/>
      <c r="H270" s="146"/>
      <c r="I270" s="146"/>
      <c r="J270" s="146"/>
      <c r="K270" s="146"/>
    </row>
    <row r="271" spans="1:11" ht="15">
      <c r="A271" s="108"/>
      <c r="B271" s="108"/>
      <c r="C271" s="109"/>
      <c r="D271" s="110"/>
      <c r="E271" s="108"/>
      <c r="F271" s="110"/>
      <c r="G271" s="108"/>
      <c r="H271" s="110"/>
      <c r="I271" s="108"/>
      <c r="J271" s="110"/>
      <c r="K271" s="108"/>
    </row>
    <row r="272" spans="1:11" ht="15">
      <c r="A272" s="108"/>
      <c r="B272" s="108"/>
      <c r="C272" s="109"/>
      <c r="D272" s="110"/>
      <c r="E272" s="108"/>
      <c r="F272" s="110"/>
      <c r="G272" s="108"/>
      <c r="H272" s="110"/>
      <c r="I272" s="108"/>
      <c r="J272" s="110"/>
      <c r="K272" s="108"/>
    </row>
    <row r="273" spans="1:11" ht="15">
      <c r="A273" s="111" t="s">
        <v>174</v>
      </c>
      <c r="B273" s="111"/>
      <c r="C273" s="111"/>
      <c r="D273" s="111"/>
      <c r="E273" s="108"/>
      <c r="F273" s="108"/>
      <c r="G273" s="108"/>
      <c r="H273" s="108"/>
      <c r="I273" s="108"/>
      <c r="J273" s="108"/>
      <c r="K273" s="113"/>
    </row>
    <row r="274" spans="1:11" ht="15.75" customHeight="1">
      <c r="A274" s="351" t="s">
        <v>175</v>
      </c>
      <c r="B274" s="351"/>
      <c r="C274" s="341"/>
      <c r="D274" s="305" t="s">
        <v>3</v>
      </c>
      <c r="E274" s="305"/>
      <c r="F274" s="305"/>
      <c r="G274" s="305"/>
      <c r="H274" s="305"/>
      <c r="I274" s="305"/>
      <c r="J274" s="305"/>
      <c r="K274" s="305"/>
    </row>
    <row r="275" spans="1:11" ht="15">
      <c r="A275" s="351"/>
      <c r="B275" s="351"/>
      <c r="C275" s="341"/>
      <c r="D275" s="305" t="s">
        <v>4</v>
      </c>
      <c r="E275" s="305"/>
      <c r="F275" s="305" t="s">
        <v>176</v>
      </c>
      <c r="G275" s="305"/>
      <c r="H275" s="322" t="s">
        <v>177</v>
      </c>
      <c r="I275" s="322"/>
      <c r="J275" s="322" t="s">
        <v>178</v>
      </c>
      <c r="K275" s="322"/>
    </row>
    <row r="276" spans="1:11" ht="15">
      <c r="A276" s="342"/>
      <c r="B276" s="342"/>
      <c r="C276" s="343"/>
      <c r="D276" s="117" t="s">
        <v>12</v>
      </c>
      <c r="E276" s="114" t="s">
        <v>13</v>
      </c>
      <c r="F276" s="117" t="s">
        <v>12</v>
      </c>
      <c r="G276" s="114" t="s">
        <v>13</v>
      </c>
      <c r="H276" s="117" t="s">
        <v>12</v>
      </c>
      <c r="I276" s="114" t="s">
        <v>13</v>
      </c>
      <c r="J276" s="117" t="s">
        <v>12</v>
      </c>
      <c r="K276" s="114" t="s">
        <v>13</v>
      </c>
    </row>
    <row r="277" spans="1:11" ht="15">
      <c r="A277" s="318" t="s">
        <v>179</v>
      </c>
      <c r="B277" s="318"/>
      <c r="C277" s="318"/>
      <c r="D277" s="121">
        <v>3500</v>
      </c>
      <c r="E277" s="164" t="s">
        <v>180</v>
      </c>
      <c r="F277" s="121">
        <v>2500</v>
      </c>
      <c r="G277" s="165" t="s">
        <v>181</v>
      </c>
      <c r="H277" s="317" t="s">
        <v>175</v>
      </c>
      <c r="I277" s="317"/>
      <c r="J277" s="317" t="s">
        <v>182</v>
      </c>
      <c r="K277" s="317"/>
    </row>
    <row r="278" spans="1:11" ht="15">
      <c r="A278" s="318" t="s">
        <v>183</v>
      </c>
      <c r="B278" s="318"/>
      <c r="C278" s="318"/>
      <c r="D278" s="121">
        <v>2000</v>
      </c>
      <c r="E278" s="164" t="s">
        <v>184</v>
      </c>
      <c r="F278" s="121">
        <v>1500</v>
      </c>
      <c r="G278" s="165" t="s">
        <v>185</v>
      </c>
      <c r="H278" s="317"/>
      <c r="I278" s="317"/>
      <c r="J278" s="317"/>
      <c r="K278" s="317"/>
    </row>
    <row r="279" spans="1:11" ht="15">
      <c r="A279" s="318" t="s">
        <v>186</v>
      </c>
      <c r="B279" s="318"/>
      <c r="C279" s="318"/>
      <c r="D279" s="121">
        <v>1312.5</v>
      </c>
      <c r="E279" s="164" t="s">
        <v>187</v>
      </c>
      <c r="F279" s="121">
        <v>1312.5</v>
      </c>
      <c r="G279" s="165" t="s">
        <v>188</v>
      </c>
      <c r="H279" s="317"/>
      <c r="I279" s="317"/>
      <c r="J279" s="317"/>
      <c r="K279" s="317"/>
    </row>
    <row r="280" spans="1:11" ht="15">
      <c r="A280" s="318" t="s">
        <v>189</v>
      </c>
      <c r="B280" s="318"/>
      <c r="C280" s="318"/>
      <c r="D280" s="121">
        <v>496</v>
      </c>
      <c r="E280" s="164" t="s">
        <v>190</v>
      </c>
      <c r="F280" s="121">
        <v>496</v>
      </c>
      <c r="G280" s="165" t="s">
        <v>191</v>
      </c>
      <c r="H280" s="317"/>
      <c r="I280" s="317"/>
      <c r="J280" s="317"/>
      <c r="K280" s="317"/>
    </row>
    <row r="281" spans="1:11" ht="15">
      <c r="A281" s="318" t="s">
        <v>192</v>
      </c>
      <c r="B281" s="318"/>
      <c r="C281" s="318"/>
      <c r="D281" s="121">
        <v>255</v>
      </c>
      <c r="E281" s="164" t="s">
        <v>193</v>
      </c>
      <c r="F281" s="121">
        <v>255</v>
      </c>
      <c r="G281" s="165" t="s">
        <v>194</v>
      </c>
      <c r="H281" s="317"/>
      <c r="I281" s="317"/>
      <c r="J281" s="317"/>
      <c r="K281" s="317"/>
    </row>
    <row r="282" spans="1:11" ht="15">
      <c r="A282" s="325" t="s">
        <v>195</v>
      </c>
      <c r="B282" s="325"/>
      <c r="C282" s="325"/>
      <c r="D282" s="149">
        <v>20</v>
      </c>
      <c r="E282" s="166" t="s">
        <v>196</v>
      </c>
      <c r="F282" s="317" t="s">
        <v>40</v>
      </c>
      <c r="G282" s="317"/>
      <c r="H282" s="317"/>
      <c r="I282" s="317"/>
      <c r="J282" s="317"/>
      <c r="K282" s="317"/>
    </row>
    <row r="283" spans="1:11" ht="15">
      <c r="A283" s="318" t="s">
        <v>197</v>
      </c>
      <c r="B283" s="318"/>
      <c r="C283" s="318"/>
      <c r="D283" s="121">
        <v>6295</v>
      </c>
      <c r="E283" s="164" t="s">
        <v>198</v>
      </c>
      <c r="F283" s="121">
        <v>4500</v>
      </c>
      <c r="G283" s="165" t="s">
        <v>199</v>
      </c>
      <c r="H283" s="317"/>
      <c r="I283" s="317"/>
      <c r="J283" s="317"/>
      <c r="K283" s="317"/>
    </row>
    <row r="284" spans="1:11" ht="15">
      <c r="A284" s="318" t="s">
        <v>200</v>
      </c>
      <c r="B284" s="318"/>
      <c r="C284" s="318"/>
      <c r="D284" s="121">
        <v>3595</v>
      </c>
      <c r="E284" s="164" t="s">
        <v>201</v>
      </c>
      <c r="F284" s="121">
        <v>2696.25</v>
      </c>
      <c r="G284" s="165" t="s">
        <v>202</v>
      </c>
      <c r="H284" s="317"/>
      <c r="I284" s="317"/>
      <c r="J284" s="317"/>
      <c r="K284" s="317"/>
    </row>
    <row r="285" spans="1:11" ht="15">
      <c r="A285" s="318" t="s">
        <v>203</v>
      </c>
      <c r="B285" s="318"/>
      <c r="C285" s="318"/>
      <c r="D285" s="121">
        <v>2350</v>
      </c>
      <c r="E285" s="164" t="s">
        <v>204</v>
      </c>
      <c r="F285" s="121">
        <v>2350</v>
      </c>
      <c r="G285" s="165" t="s">
        <v>205</v>
      </c>
      <c r="H285" s="317"/>
      <c r="I285" s="317"/>
      <c r="J285" s="317"/>
      <c r="K285" s="317"/>
    </row>
    <row r="286" spans="1:11" ht="15">
      <c r="A286" s="318" t="s">
        <v>206</v>
      </c>
      <c r="B286" s="318"/>
      <c r="C286" s="318"/>
      <c r="D286" s="121">
        <v>890</v>
      </c>
      <c r="E286" s="164" t="s">
        <v>207</v>
      </c>
      <c r="F286" s="121">
        <v>890</v>
      </c>
      <c r="G286" s="165" t="s">
        <v>208</v>
      </c>
      <c r="H286" s="317"/>
      <c r="I286" s="317"/>
      <c r="J286" s="317"/>
      <c r="K286" s="317"/>
    </row>
    <row r="287" spans="1:11" ht="15">
      <c r="A287" s="318" t="s">
        <v>209</v>
      </c>
      <c r="B287" s="318"/>
      <c r="C287" s="318"/>
      <c r="D287" s="121">
        <v>449</v>
      </c>
      <c r="E287" s="164" t="s">
        <v>210</v>
      </c>
      <c r="F287" s="121">
        <v>449</v>
      </c>
      <c r="G287" s="165" t="s">
        <v>211</v>
      </c>
      <c r="H287" s="317"/>
      <c r="I287" s="317"/>
      <c r="J287" s="317"/>
      <c r="K287" s="317"/>
    </row>
    <row r="288" spans="1:11" ht="15">
      <c r="A288" s="325" t="s">
        <v>195</v>
      </c>
      <c r="B288" s="325"/>
      <c r="C288" s="325"/>
      <c r="D288" s="149">
        <v>20</v>
      </c>
      <c r="E288" s="166" t="s">
        <v>212</v>
      </c>
      <c r="F288" s="317" t="s">
        <v>40</v>
      </c>
      <c r="G288" s="317"/>
      <c r="H288" s="317"/>
      <c r="I288" s="317"/>
      <c r="J288" s="317"/>
      <c r="K288" s="317"/>
    </row>
    <row r="289" spans="1:11" ht="15">
      <c r="A289" s="167" t="s">
        <v>213</v>
      </c>
      <c r="B289" s="108"/>
      <c r="C289" s="108"/>
      <c r="D289" s="108"/>
      <c r="E289" s="108"/>
      <c r="F289" s="108"/>
      <c r="G289" s="108"/>
      <c r="H289" s="108"/>
      <c r="I289" s="108"/>
      <c r="J289" s="108"/>
      <c r="K289" s="108"/>
    </row>
    <row r="290" spans="1:11" ht="15">
      <c r="A290" s="167" t="s">
        <v>214</v>
      </c>
      <c r="B290" s="108"/>
      <c r="C290" s="108"/>
      <c r="D290" s="108"/>
      <c r="E290" s="108"/>
      <c r="F290" s="108"/>
      <c r="G290" s="108"/>
      <c r="H290" s="108"/>
      <c r="I290" s="108"/>
      <c r="J290" s="108"/>
      <c r="K290" s="108"/>
    </row>
    <row r="291" spans="1:11" ht="15">
      <c r="A291" s="167" t="s">
        <v>215</v>
      </c>
      <c r="B291" s="108"/>
      <c r="C291" s="108"/>
      <c r="D291" s="108"/>
      <c r="E291" s="108"/>
      <c r="F291" s="108"/>
      <c r="G291" s="108"/>
      <c r="H291" s="108"/>
      <c r="I291" s="108"/>
      <c r="J291" s="108"/>
      <c r="K291" s="108"/>
    </row>
    <row r="292" spans="1:11" ht="15">
      <c r="A292" s="111"/>
      <c r="B292" s="108"/>
      <c r="C292" s="108"/>
      <c r="D292" s="108"/>
      <c r="E292" s="108"/>
      <c r="F292" s="108"/>
      <c r="G292" s="108"/>
      <c r="H292" s="108"/>
      <c r="I292" s="108"/>
      <c r="J292" s="108"/>
      <c r="K292" s="108"/>
    </row>
    <row r="293" spans="1:11" ht="15">
      <c r="A293" s="111" t="s">
        <v>228</v>
      </c>
      <c r="B293" s="111"/>
      <c r="C293" s="111"/>
      <c r="D293" s="111"/>
      <c r="E293" s="108"/>
      <c r="F293" s="110"/>
      <c r="G293" s="108"/>
      <c r="H293" s="110"/>
      <c r="I293" s="108"/>
      <c r="J293" s="110"/>
      <c r="K293" s="113"/>
    </row>
    <row r="294" spans="1:11" ht="15.75" customHeight="1">
      <c r="A294" s="340" t="s">
        <v>2</v>
      </c>
      <c r="B294" s="340"/>
      <c r="C294" s="341"/>
      <c r="D294" s="304" t="s">
        <v>3</v>
      </c>
      <c r="E294" s="304"/>
      <c r="F294" s="304"/>
      <c r="G294" s="304"/>
      <c r="H294" s="305"/>
      <c r="I294" s="305"/>
      <c r="J294" s="305"/>
      <c r="K294" s="305"/>
    </row>
    <row r="295" spans="1:11" ht="15">
      <c r="A295" s="340"/>
      <c r="B295" s="340"/>
      <c r="C295" s="341"/>
      <c r="D295" s="306" t="s">
        <v>4</v>
      </c>
      <c r="E295" s="307"/>
      <c r="F295" s="306" t="s">
        <v>5</v>
      </c>
      <c r="G295" s="307"/>
      <c r="H295" s="308" t="s">
        <v>6</v>
      </c>
      <c r="I295" s="322"/>
      <c r="J295" s="322" t="s">
        <v>7</v>
      </c>
      <c r="K295" s="322"/>
    </row>
    <row r="296" spans="1:11" ht="15">
      <c r="A296" s="340"/>
      <c r="B296" s="340"/>
      <c r="C296" s="341"/>
      <c r="D296" s="310" t="s">
        <v>8</v>
      </c>
      <c r="E296" s="311"/>
      <c r="F296" s="310" t="s">
        <v>8</v>
      </c>
      <c r="G296" s="311"/>
      <c r="H296" s="308"/>
      <c r="I296" s="322"/>
      <c r="J296" s="322"/>
      <c r="K296" s="322"/>
    </row>
    <row r="297" spans="1:11" ht="15">
      <c r="A297" s="342"/>
      <c r="B297" s="342"/>
      <c r="C297" s="343"/>
      <c r="D297" s="115" t="s">
        <v>12</v>
      </c>
      <c r="E297" s="116" t="s">
        <v>13</v>
      </c>
      <c r="F297" s="115" t="s">
        <v>12</v>
      </c>
      <c r="G297" s="116" t="s">
        <v>13</v>
      </c>
      <c r="H297" s="117" t="s">
        <v>12</v>
      </c>
      <c r="I297" s="114" t="s">
        <v>13</v>
      </c>
      <c r="J297" s="117" t="s">
        <v>12</v>
      </c>
      <c r="K297" s="114" t="s">
        <v>13</v>
      </c>
    </row>
    <row r="298" spans="1:11" ht="15">
      <c r="A298" s="323" t="s">
        <v>229</v>
      </c>
      <c r="B298" s="323"/>
      <c r="C298" s="323"/>
      <c r="D298" s="152">
        <v>256.36</v>
      </c>
      <c r="E298" s="148" t="s">
        <v>230</v>
      </c>
      <c r="F298" s="147">
        <f t="shared" ref="F298:F307" si="3">ROUND(D298*0.5,2)</f>
        <v>128.18</v>
      </c>
      <c r="G298" s="148" t="s">
        <v>231</v>
      </c>
      <c r="H298" s="121">
        <f t="shared" ref="H298:H307" si="4">ROUND(D298*0.2,2)</f>
        <v>51.27</v>
      </c>
      <c r="I298" s="141" t="s">
        <v>232</v>
      </c>
      <c r="J298" s="155" t="s">
        <v>40</v>
      </c>
      <c r="K298" s="141" t="s">
        <v>40</v>
      </c>
    </row>
    <row r="299" spans="1:11" ht="15">
      <c r="A299" s="323" t="s">
        <v>233</v>
      </c>
      <c r="B299" s="323"/>
      <c r="C299" s="323"/>
      <c r="D299" s="149">
        <v>487.67</v>
      </c>
      <c r="E299" s="141" t="s">
        <v>234</v>
      </c>
      <c r="F299" s="121">
        <f t="shared" si="3"/>
        <v>243.84</v>
      </c>
      <c r="G299" s="141" t="s">
        <v>235</v>
      </c>
      <c r="H299" s="121">
        <f t="shared" si="4"/>
        <v>97.53</v>
      </c>
      <c r="I299" s="141" t="s">
        <v>236</v>
      </c>
      <c r="J299" s="121">
        <f t="shared" ref="J299:J307" si="5">ROUND(D299*0.15,2)</f>
        <v>73.150000000000006</v>
      </c>
      <c r="K299" s="141" t="s">
        <v>237</v>
      </c>
    </row>
    <row r="300" spans="1:11" ht="15">
      <c r="A300" s="323" t="s">
        <v>238</v>
      </c>
      <c r="B300" s="323"/>
      <c r="C300" s="323"/>
      <c r="D300" s="149">
        <v>931.74</v>
      </c>
      <c r="E300" s="141" t="s">
        <v>239</v>
      </c>
      <c r="F300" s="121">
        <f t="shared" si="3"/>
        <v>465.87</v>
      </c>
      <c r="G300" s="141" t="s">
        <v>240</v>
      </c>
      <c r="H300" s="121">
        <f t="shared" si="4"/>
        <v>186.35</v>
      </c>
      <c r="I300" s="141" t="s">
        <v>241</v>
      </c>
      <c r="J300" s="121">
        <f t="shared" si="5"/>
        <v>139.76</v>
      </c>
      <c r="K300" s="141" t="s">
        <v>242</v>
      </c>
    </row>
    <row r="301" spans="1:11" ht="15">
      <c r="A301" s="323" t="s">
        <v>243</v>
      </c>
      <c r="B301" s="323"/>
      <c r="C301" s="323"/>
      <c r="D301" s="149">
        <v>1724.79</v>
      </c>
      <c r="E301" s="141" t="s">
        <v>244</v>
      </c>
      <c r="F301" s="121">
        <f t="shared" si="3"/>
        <v>862.4</v>
      </c>
      <c r="G301" s="141" t="s">
        <v>245</v>
      </c>
      <c r="H301" s="121">
        <f t="shared" si="4"/>
        <v>344.96</v>
      </c>
      <c r="I301" s="141" t="s">
        <v>246</v>
      </c>
      <c r="J301" s="121">
        <f t="shared" si="5"/>
        <v>258.72000000000003</v>
      </c>
      <c r="K301" s="141" t="s">
        <v>247</v>
      </c>
    </row>
    <row r="302" spans="1:11" ht="15">
      <c r="A302" s="323" t="s">
        <v>248</v>
      </c>
      <c r="B302" s="323"/>
      <c r="C302" s="323"/>
      <c r="D302" s="149">
        <v>395</v>
      </c>
      <c r="E302" s="141" t="s">
        <v>249</v>
      </c>
      <c r="F302" s="121">
        <f t="shared" si="3"/>
        <v>197.5</v>
      </c>
      <c r="G302" s="141" t="s">
        <v>250</v>
      </c>
      <c r="H302" s="121">
        <f t="shared" si="4"/>
        <v>79</v>
      </c>
      <c r="I302" s="141" t="s">
        <v>251</v>
      </c>
      <c r="J302" s="121">
        <f t="shared" si="5"/>
        <v>59.25</v>
      </c>
      <c r="K302" s="141" t="s">
        <v>252</v>
      </c>
    </row>
    <row r="303" spans="1:11" ht="15">
      <c r="A303" s="323" t="s">
        <v>253</v>
      </c>
      <c r="B303" s="323"/>
      <c r="C303" s="323"/>
      <c r="D303" s="149">
        <v>995</v>
      </c>
      <c r="E303" s="141" t="s">
        <v>254</v>
      </c>
      <c r="F303" s="121">
        <f t="shared" si="3"/>
        <v>497.5</v>
      </c>
      <c r="G303" s="141" t="s">
        <v>255</v>
      </c>
      <c r="H303" s="121">
        <f t="shared" si="4"/>
        <v>199</v>
      </c>
      <c r="I303" s="141" t="s">
        <v>256</v>
      </c>
      <c r="J303" s="121">
        <f t="shared" si="5"/>
        <v>149.25</v>
      </c>
      <c r="K303" s="141" t="s">
        <v>257</v>
      </c>
    </row>
    <row r="304" spans="1:11" ht="15">
      <c r="A304" s="323" t="s">
        <v>258</v>
      </c>
      <c r="B304" s="323"/>
      <c r="C304" s="323"/>
      <c r="D304" s="149">
        <v>1295</v>
      </c>
      <c r="E304" s="141" t="s">
        <v>259</v>
      </c>
      <c r="F304" s="121">
        <f t="shared" si="3"/>
        <v>647.5</v>
      </c>
      <c r="G304" s="141" t="s">
        <v>260</v>
      </c>
      <c r="H304" s="121">
        <f t="shared" si="4"/>
        <v>259</v>
      </c>
      <c r="I304" s="141" t="s">
        <v>261</v>
      </c>
      <c r="J304" s="121">
        <f t="shared" si="5"/>
        <v>194.25</v>
      </c>
      <c r="K304" s="141" t="s">
        <v>262</v>
      </c>
    </row>
    <row r="305" spans="1:11" ht="15">
      <c r="A305" s="323" t="s">
        <v>263</v>
      </c>
      <c r="B305" s="323"/>
      <c r="C305" s="323"/>
      <c r="D305" s="149">
        <v>1895</v>
      </c>
      <c r="E305" s="141" t="s">
        <v>264</v>
      </c>
      <c r="F305" s="121">
        <f t="shared" si="3"/>
        <v>947.5</v>
      </c>
      <c r="G305" s="141" t="s">
        <v>265</v>
      </c>
      <c r="H305" s="121">
        <f t="shared" si="4"/>
        <v>379</v>
      </c>
      <c r="I305" s="141" t="s">
        <v>266</v>
      </c>
      <c r="J305" s="121">
        <f t="shared" si="5"/>
        <v>284.25</v>
      </c>
      <c r="K305" s="141" t="s">
        <v>267</v>
      </c>
    </row>
    <row r="306" spans="1:11" ht="15">
      <c r="A306" s="323" t="s">
        <v>268</v>
      </c>
      <c r="B306" s="323"/>
      <c r="C306" s="323"/>
      <c r="D306" s="149">
        <v>3750</v>
      </c>
      <c r="E306" s="141" t="s">
        <v>269</v>
      </c>
      <c r="F306" s="121">
        <f t="shared" si="3"/>
        <v>1875</v>
      </c>
      <c r="G306" s="141" t="s">
        <v>270</v>
      </c>
      <c r="H306" s="121">
        <f t="shared" si="4"/>
        <v>750</v>
      </c>
      <c r="I306" s="141" t="s">
        <v>271</v>
      </c>
      <c r="J306" s="121">
        <f t="shared" si="5"/>
        <v>562.5</v>
      </c>
      <c r="K306" s="141" t="s">
        <v>272</v>
      </c>
    </row>
    <row r="307" spans="1:11" ht="15">
      <c r="A307" s="323" t="s">
        <v>273</v>
      </c>
      <c r="B307" s="323"/>
      <c r="C307" s="323"/>
      <c r="D307" s="149">
        <v>7750</v>
      </c>
      <c r="E307" s="141" t="s">
        <v>274</v>
      </c>
      <c r="F307" s="121">
        <f t="shared" si="3"/>
        <v>3875</v>
      </c>
      <c r="G307" s="141" t="s">
        <v>275</v>
      </c>
      <c r="H307" s="121">
        <f t="shared" si="4"/>
        <v>1550</v>
      </c>
      <c r="I307" s="141" t="s">
        <v>276</v>
      </c>
      <c r="J307" s="121">
        <f t="shared" si="5"/>
        <v>1162.5</v>
      </c>
      <c r="K307" s="141" t="s">
        <v>277</v>
      </c>
    </row>
    <row r="308" spans="1:11" ht="15">
      <c r="A308" s="111" t="s">
        <v>278</v>
      </c>
      <c r="B308" s="108"/>
      <c r="C308" s="109"/>
      <c r="D308" s="110"/>
      <c r="E308" s="108"/>
      <c r="F308" s="110"/>
      <c r="G308" s="108"/>
      <c r="H308" s="110"/>
      <c r="I308" s="108"/>
      <c r="J308" s="110"/>
      <c r="K308" s="108"/>
    </row>
    <row r="309" spans="1:11" ht="28.5" customHeight="1">
      <c r="A309" s="331" t="s">
        <v>485</v>
      </c>
      <c r="B309" s="331"/>
      <c r="C309" s="331"/>
      <c r="D309" s="331"/>
      <c r="E309" s="331"/>
      <c r="F309" s="331"/>
      <c r="G309" s="331"/>
      <c r="H309" s="331"/>
      <c r="I309" s="331"/>
      <c r="J309" s="331"/>
      <c r="K309" s="331"/>
    </row>
    <row r="310" spans="1:11" ht="15">
      <c r="A310" s="150"/>
      <c r="B310" s="150"/>
      <c r="C310" s="150"/>
      <c r="D310" s="110"/>
      <c r="E310" s="108"/>
      <c r="F310" s="110"/>
      <c r="G310" s="108"/>
      <c r="H310" s="110"/>
      <c r="I310" s="108"/>
      <c r="J310" s="110"/>
      <c r="K310" s="108"/>
    </row>
    <row r="311" spans="1:11" ht="15">
      <c r="A311" s="108"/>
      <c r="B311" s="108"/>
      <c r="C311" s="108"/>
      <c r="D311" s="108"/>
      <c r="E311" s="127"/>
      <c r="F311" s="169"/>
      <c r="G311" s="127"/>
      <c r="H311" s="168"/>
      <c r="I311" s="127"/>
      <c r="J311" s="168"/>
      <c r="K311" s="127"/>
    </row>
    <row r="312" spans="1:11" ht="15">
      <c r="A312" s="111" t="s">
        <v>388</v>
      </c>
      <c r="B312" s="111"/>
      <c r="C312" s="111"/>
      <c r="D312" s="112"/>
      <c r="E312" s="108"/>
      <c r="F312" s="108"/>
      <c r="G312" s="108"/>
      <c r="H312" s="108"/>
      <c r="I312" s="108"/>
      <c r="J312" s="108"/>
      <c r="K312" s="113"/>
    </row>
    <row r="313" spans="1:11" ht="15.75" customHeight="1">
      <c r="A313" s="340" t="s">
        <v>389</v>
      </c>
      <c r="B313" s="340"/>
      <c r="C313" s="341"/>
      <c r="D313" s="305" t="s">
        <v>3</v>
      </c>
      <c r="E313" s="305"/>
      <c r="F313" s="305"/>
      <c r="G313" s="305"/>
      <c r="H313" s="305"/>
      <c r="I313" s="305"/>
      <c r="J313" s="305"/>
      <c r="K313" s="305"/>
    </row>
    <row r="314" spans="1:11" ht="15">
      <c r="A314" s="340"/>
      <c r="B314" s="340"/>
      <c r="C314" s="341"/>
      <c r="D314" s="305" t="s">
        <v>4</v>
      </c>
      <c r="E314" s="305"/>
      <c r="F314" s="322" t="s">
        <v>5</v>
      </c>
      <c r="G314" s="305"/>
      <c r="H314" s="322" t="s">
        <v>6</v>
      </c>
      <c r="I314" s="322"/>
      <c r="J314" s="322" t="s">
        <v>178</v>
      </c>
      <c r="K314" s="322"/>
    </row>
    <row r="315" spans="1:11" ht="15">
      <c r="A315" s="342"/>
      <c r="B315" s="342"/>
      <c r="C315" s="343"/>
      <c r="D315" s="117" t="s">
        <v>12</v>
      </c>
      <c r="E315" s="114" t="s">
        <v>13</v>
      </c>
      <c r="F315" s="117" t="s">
        <v>12</v>
      </c>
      <c r="G315" s="114" t="s">
        <v>13</v>
      </c>
      <c r="H315" s="117" t="s">
        <v>12</v>
      </c>
      <c r="I315" s="114" t="s">
        <v>13</v>
      </c>
      <c r="J315" s="117" t="s">
        <v>12</v>
      </c>
      <c r="K315" s="114" t="s">
        <v>13</v>
      </c>
    </row>
    <row r="316" spans="1:11" ht="15">
      <c r="A316" s="328" t="s">
        <v>390</v>
      </c>
      <c r="B316" s="329"/>
      <c r="C316" s="330"/>
      <c r="D316" s="121">
        <v>499</v>
      </c>
      <c r="E316" s="164" t="s">
        <v>391</v>
      </c>
      <c r="F316" s="121">
        <f>ROUND(D316*0.5,2)</f>
        <v>249.5</v>
      </c>
      <c r="G316" s="170" t="s">
        <v>392</v>
      </c>
      <c r="H316" s="121">
        <f>ROUND(D316*0.2,2)</f>
        <v>99.8</v>
      </c>
      <c r="I316" s="119" t="s">
        <v>393</v>
      </c>
      <c r="J316" s="121">
        <f t="shared" ref="J316:J325" si="6">ROUND(D316*0.15,2)</f>
        <v>74.849999999999994</v>
      </c>
      <c r="K316" s="119" t="s">
        <v>394</v>
      </c>
    </row>
    <row r="317" spans="1:11" ht="15">
      <c r="A317" s="328" t="s">
        <v>395</v>
      </c>
      <c r="B317" s="329"/>
      <c r="C317" s="330"/>
      <c r="D317" s="121">
        <v>899</v>
      </c>
      <c r="E317" s="164" t="s">
        <v>396</v>
      </c>
      <c r="F317" s="121">
        <f>ROUND(D317*0.5,2)</f>
        <v>449.5</v>
      </c>
      <c r="G317" s="170" t="s">
        <v>397</v>
      </c>
      <c r="H317" s="121">
        <f>ROUND(D317*0.2,2)</f>
        <v>179.8</v>
      </c>
      <c r="I317" s="119" t="s">
        <v>398</v>
      </c>
      <c r="J317" s="121">
        <f t="shared" si="6"/>
        <v>134.85</v>
      </c>
      <c r="K317" s="119" t="s">
        <v>399</v>
      </c>
    </row>
    <row r="318" spans="1:11" ht="15">
      <c r="A318" s="328" t="s">
        <v>400</v>
      </c>
      <c r="B318" s="329"/>
      <c r="C318" s="330"/>
      <c r="D318" s="121">
        <v>199.95</v>
      </c>
      <c r="E318" s="164" t="s">
        <v>401</v>
      </c>
      <c r="F318" s="317" t="s">
        <v>40</v>
      </c>
      <c r="G318" s="317"/>
      <c r="H318" s="305" t="s">
        <v>40</v>
      </c>
      <c r="I318" s="305"/>
      <c r="J318" s="121">
        <f t="shared" si="6"/>
        <v>29.99</v>
      </c>
      <c r="K318" s="119" t="s">
        <v>402</v>
      </c>
    </row>
    <row r="319" spans="1:11" ht="15">
      <c r="A319" s="328" t="s">
        <v>403</v>
      </c>
      <c r="B319" s="329"/>
      <c r="C319" s="330"/>
      <c r="D319" s="121">
        <v>400</v>
      </c>
      <c r="E319" s="164" t="s">
        <v>404</v>
      </c>
      <c r="F319" s="317"/>
      <c r="G319" s="317"/>
      <c r="H319" s="305"/>
      <c r="I319" s="305"/>
      <c r="J319" s="121">
        <f t="shared" si="6"/>
        <v>60</v>
      </c>
      <c r="K319" s="119" t="s">
        <v>405</v>
      </c>
    </row>
    <row r="320" spans="1:11" ht="15">
      <c r="A320" s="328" t="s">
        <v>406</v>
      </c>
      <c r="B320" s="329"/>
      <c r="C320" s="330"/>
      <c r="D320" s="121">
        <v>1499</v>
      </c>
      <c r="E320" s="164" t="s">
        <v>407</v>
      </c>
      <c r="F320" s="121">
        <f>ROUND(D320*0.5,2)</f>
        <v>749.5</v>
      </c>
      <c r="G320" s="119" t="s">
        <v>408</v>
      </c>
      <c r="H320" s="121">
        <f>ROUND(D320*0.2,2)</f>
        <v>299.8</v>
      </c>
      <c r="I320" s="119" t="s">
        <v>409</v>
      </c>
      <c r="J320" s="121">
        <f t="shared" si="6"/>
        <v>224.85</v>
      </c>
      <c r="K320" s="119" t="s">
        <v>410</v>
      </c>
    </row>
    <row r="321" spans="1:11" ht="15">
      <c r="A321" s="328" t="s">
        <v>411</v>
      </c>
      <c r="B321" s="329"/>
      <c r="C321" s="330"/>
      <c r="D321" s="121">
        <v>1899</v>
      </c>
      <c r="E321" s="164" t="s">
        <v>412</v>
      </c>
      <c r="F321" s="121">
        <f>ROUND(D321*0.5,2)</f>
        <v>949.5</v>
      </c>
      <c r="G321" s="119" t="s">
        <v>413</v>
      </c>
      <c r="H321" s="121">
        <f>ROUND(D321*0.2,2)</f>
        <v>379.8</v>
      </c>
      <c r="I321" s="119" t="s">
        <v>414</v>
      </c>
      <c r="J321" s="121">
        <f t="shared" si="6"/>
        <v>284.85000000000002</v>
      </c>
      <c r="K321" s="119" t="s">
        <v>415</v>
      </c>
    </row>
    <row r="322" spans="1:11" ht="15">
      <c r="A322" s="328" t="s">
        <v>416</v>
      </c>
      <c r="B322" s="329"/>
      <c r="C322" s="330"/>
      <c r="D322" s="121">
        <v>799</v>
      </c>
      <c r="E322" s="164" t="s">
        <v>417</v>
      </c>
      <c r="F322" s="327" t="s">
        <v>40</v>
      </c>
      <c r="G322" s="327"/>
      <c r="H322" s="327" t="s">
        <v>40</v>
      </c>
      <c r="I322" s="327"/>
      <c r="J322" s="121">
        <f t="shared" si="6"/>
        <v>119.85</v>
      </c>
      <c r="K322" s="119" t="s">
        <v>418</v>
      </c>
    </row>
    <row r="323" spans="1:11" ht="15">
      <c r="A323" s="328" t="s">
        <v>419</v>
      </c>
      <c r="B323" s="329"/>
      <c r="C323" s="330"/>
      <c r="D323" s="121">
        <v>400</v>
      </c>
      <c r="E323" s="171" t="s">
        <v>420</v>
      </c>
      <c r="F323" s="327"/>
      <c r="G323" s="327"/>
      <c r="H323" s="327"/>
      <c r="I323" s="327"/>
      <c r="J323" s="121">
        <f t="shared" si="6"/>
        <v>60</v>
      </c>
      <c r="K323" s="119" t="s">
        <v>421</v>
      </c>
    </row>
    <row r="324" spans="1:11" ht="15">
      <c r="A324" s="328" t="s">
        <v>422</v>
      </c>
      <c r="B324" s="329"/>
      <c r="C324" s="330"/>
      <c r="D324" s="121">
        <v>1000</v>
      </c>
      <c r="E324" s="164" t="s">
        <v>423</v>
      </c>
      <c r="F324" s="327"/>
      <c r="G324" s="327"/>
      <c r="H324" s="327"/>
      <c r="I324" s="327"/>
      <c r="J324" s="121">
        <f t="shared" si="6"/>
        <v>150</v>
      </c>
      <c r="K324" s="119" t="s">
        <v>424</v>
      </c>
    </row>
    <row r="325" spans="1:11" ht="15">
      <c r="A325" s="328" t="s">
        <v>425</v>
      </c>
      <c r="B325" s="329"/>
      <c r="C325" s="330"/>
      <c r="D325" s="121">
        <v>1000</v>
      </c>
      <c r="E325" s="164" t="s">
        <v>426</v>
      </c>
      <c r="F325" s="327"/>
      <c r="G325" s="327"/>
      <c r="H325" s="327"/>
      <c r="I325" s="327"/>
      <c r="J325" s="121">
        <f t="shared" si="6"/>
        <v>150</v>
      </c>
      <c r="K325" s="119" t="s">
        <v>427</v>
      </c>
    </row>
    <row r="326" spans="1:11" ht="15">
      <c r="A326" s="326"/>
      <c r="B326" s="326"/>
      <c r="C326" s="326"/>
      <c r="D326" s="326"/>
      <c r="E326" s="326"/>
      <c r="F326" s="326"/>
      <c r="G326" s="108"/>
      <c r="H326" s="108"/>
      <c r="I326" s="108"/>
      <c r="J326" s="108"/>
      <c r="K326" s="108"/>
    </row>
    <row r="327" spans="1:11" ht="15">
      <c r="A327" s="111" t="s">
        <v>428</v>
      </c>
      <c r="B327" s="111"/>
      <c r="C327" s="111"/>
      <c r="D327" s="112"/>
      <c r="E327" s="108"/>
      <c r="F327" s="110"/>
      <c r="G327" s="108"/>
      <c r="H327" s="110"/>
      <c r="I327" s="108"/>
      <c r="J327" s="110"/>
      <c r="K327" s="113"/>
    </row>
    <row r="328" spans="1:11" ht="15">
      <c r="A328" s="320"/>
      <c r="B328" s="320"/>
      <c r="C328" s="321"/>
      <c r="D328" s="305" t="s">
        <v>3</v>
      </c>
      <c r="E328" s="305"/>
      <c r="F328" s="305"/>
      <c r="G328" s="305"/>
      <c r="H328" s="305"/>
      <c r="I328" s="305"/>
      <c r="J328" s="305"/>
      <c r="K328" s="305"/>
    </row>
    <row r="329" spans="1:11" ht="15">
      <c r="A329" s="321"/>
      <c r="B329" s="321"/>
      <c r="C329" s="321"/>
      <c r="D329" s="305" t="s">
        <v>4</v>
      </c>
      <c r="E329" s="305"/>
      <c r="F329" s="305" t="s">
        <v>176</v>
      </c>
      <c r="G329" s="305"/>
      <c r="H329" s="322" t="s">
        <v>177</v>
      </c>
      <c r="I329" s="322"/>
      <c r="J329" s="322" t="s">
        <v>178</v>
      </c>
      <c r="K329" s="322"/>
    </row>
    <row r="330" spans="1:11" ht="15">
      <c r="A330" s="323" t="s">
        <v>484</v>
      </c>
      <c r="B330" s="323"/>
      <c r="C330" s="141" t="s">
        <v>483</v>
      </c>
      <c r="D330" s="117" t="s">
        <v>12</v>
      </c>
      <c r="E330" s="114" t="s">
        <v>13</v>
      </c>
      <c r="F330" s="117" t="s">
        <v>12</v>
      </c>
      <c r="G330" s="114" t="s">
        <v>13</v>
      </c>
      <c r="H330" s="117" t="s">
        <v>12</v>
      </c>
      <c r="I330" s="114" t="s">
        <v>13</v>
      </c>
      <c r="J330" s="117" t="s">
        <v>12</v>
      </c>
      <c r="K330" s="114" t="s">
        <v>13</v>
      </c>
    </row>
    <row r="331" spans="1:11" ht="15">
      <c r="A331" s="324" t="s">
        <v>429</v>
      </c>
      <c r="B331" s="324"/>
      <c r="C331" s="172">
        <v>1</v>
      </c>
      <c r="D331" s="121">
        <v>50</v>
      </c>
      <c r="E331" s="164" t="s">
        <v>430</v>
      </c>
      <c r="F331" s="317" t="s">
        <v>40</v>
      </c>
      <c r="G331" s="317"/>
      <c r="H331" s="317" t="s">
        <v>40</v>
      </c>
      <c r="I331" s="317"/>
      <c r="J331" s="317" t="s">
        <v>40</v>
      </c>
      <c r="K331" s="317"/>
    </row>
    <row r="332" spans="1:11" ht="15">
      <c r="A332" s="324"/>
      <c r="B332" s="324"/>
      <c r="C332" s="172">
        <v>5</v>
      </c>
      <c r="D332" s="121">
        <v>225</v>
      </c>
      <c r="E332" s="164" t="s">
        <v>431</v>
      </c>
      <c r="F332" s="317"/>
      <c r="G332" s="317"/>
      <c r="H332" s="317"/>
      <c r="I332" s="317"/>
      <c r="J332" s="317"/>
      <c r="K332" s="317"/>
    </row>
    <row r="333" spans="1:11" ht="15">
      <c r="A333" s="325" t="s">
        <v>432</v>
      </c>
      <c r="B333" s="325"/>
      <c r="C333" s="172">
        <v>1</v>
      </c>
      <c r="D333" s="121">
        <v>300</v>
      </c>
      <c r="E333" s="164" t="s">
        <v>433</v>
      </c>
      <c r="F333" s="317"/>
      <c r="G333" s="317"/>
      <c r="H333" s="317"/>
      <c r="I333" s="317"/>
      <c r="J333" s="317"/>
      <c r="K333" s="317"/>
    </row>
    <row r="334" spans="1:11" ht="15">
      <c r="A334" s="325"/>
      <c r="B334" s="325"/>
      <c r="C334" s="172">
        <v>5</v>
      </c>
      <c r="D334" s="121">
        <v>1375</v>
      </c>
      <c r="E334" s="164" t="s">
        <v>434</v>
      </c>
      <c r="F334" s="317"/>
      <c r="G334" s="317"/>
      <c r="H334" s="317"/>
      <c r="I334" s="317"/>
      <c r="J334" s="317"/>
      <c r="K334" s="317"/>
    </row>
    <row r="335" spans="1:11" ht="15">
      <c r="A335" s="325"/>
      <c r="B335" s="325"/>
      <c r="C335" s="172">
        <v>10</v>
      </c>
      <c r="D335" s="121">
        <v>2500</v>
      </c>
      <c r="E335" s="164" t="s">
        <v>435</v>
      </c>
      <c r="F335" s="317"/>
      <c r="G335" s="317"/>
      <c r="H335" s="317"/>
      <c r="I335" s="317"/>
      <c r="J335" s="317"/>
      <c r="K335" s="317"/>
    </row>
    <row r="336" spans="1:11" ht="15">
      <c r="A336" s="111" t="s">
        <v>436</v>
      </c>
      <c r="B336" s="125"/>
      <c r="C336" s="109"/>
      <c r="D336" s="110"/>
      <c r="E336" s="108"/>
      <c r="F336" s="110"/>
      <c r="G336" s="108"/>
      <c r="H336" s="110"/>
      <c r="I336" s="108"/>
      <c r="J336" s="110"/>
      <c r="K336" s="108"/>
    </row>
    <row r="337" spans="1:11" ht="15">
      <c r="A337" s="108"/>
      <c r="B337" s="108"/>
      <c r="C337" s="108"/>
      <c r="D337" s="110"/>
      <c r="E337" s="108"/>
      <c r="F337" s="110"/>
      <c r="G337" s="108"/>
      <c r="H337" s="110"/>
      <c r="I337" s="108"/>
      <c r="J337" s="110"/>
      <c r="K337" s="108"/>
    </row>
    <row r="338" spans="1:11" ht="15">
      <c r="A338" s="111" t="s">
        <v>437</v>
      </c>
      <c r="B338" s="111"/>
      <c r="C338" s="111"/>
      <c r="D338" s="111"/>
      <c r="E338" s="111"/>
      <c r="F338" s="108"/>
      <c r="G338" s="108"/>
      <c r="H338" s="108"/>
      <c r="I338" s="108"/>
      <c r="J338" s="108"/>
      <c r="K338" s="108"/>
    </row>
    <row r="339" spans="1:11" ht="15">
      <c r="A339" s="320"/>
      <c r="B339" s="320"/>
      <c r="C339" s="321"/>
      <c r="D339" s="305" t="s">
        <v>438</v>
      </c>
      <c r="E339" s="305"/>
      <c r="F339" s="305"/>
      <c r="G339" s="305"/>
      <c r="H339" s="305"/>
      <c r="I339" s="305"/>
      <c r="J339" s="305"/>
      <c r="K339" s="305"/>
    </row>
    <row r="340" spans="1:11" ht="15">
      <c r="A340" s="321"/>
      <c r="B340" s="321"/>
      <c r="C340" s="321"/>
      <c r="D340" s="305" t="s">
        <v>4</v>
      </c>
      <c r="E340" s="305"/>
      <c r="F340" s="305" t="s">
        <v>176</v>
      </c>
      <c r="G340" s="305"/>
      <c r="H340" s="322" t="s">
        <v>177</v>
      </c>
      <c r="I340" s="322"/>
      <c r="J340" s="322" t="s">
        <v>178</v>
      </c>
      <c r="K340" s="322"/>
    </row>
    <row r="341" spans="1:11" ht="15">
      <c r="A341" s="323" t="s">
        <v>103</v>
      </c>
      <c r="B341" s="323"/>
      <c r="C341" s="323"/>
      <c r="D341" s="114" t="s">
        <v>12</v>
      </c>
      <c r="E341" s="114" t="s">
        <v>13</v>
      </c>
      <c r="F341" s="114" t="s">
        <v>12</v>
      </c>
      <c r="G341" s="114" t="s">
        <v>13</v>
      </c>
      <c r="H341" s="114" t="s">
        <v>12</v>
      </c>
      <c r="I341" s="114" t="s">
        <v>13</v>
      </c>
      <c r="J341" s="117" t="s">
        <v>12</v>
      </c>
      <c r="K341" s="114" t="s">
        <v>13</v>
      </c>
    </row>
    <row r="342" spans="1:11" ht="15">
      <c r="A342" s="318" t="s">
        <v>439</v>
      </c>
      <c r="B342" s="318"/>
      <c r="C342" s="318"/>
      <c r="D342" s="121">
        <v>5</v>
      </c>
      <c r="E342" s="164" t="s">
        <v>440</v>
      </c>
      <c r="F342" s="317" t="s">
        <v>40</v>
      </c>
      <c r="G342" s="317"/>
      <c r="H342" s="317" t="s">
        <v>40</v>
      </c>
      <c r="I342" s="317"/>
      <c r="J342" s="317" t="s">
        <v>40</v>
      </c>
      <c r="K342" s="317"/>
    </row>
    <row r="343" spans="1:11" ht="15">
      <c r="A343" s="318" t="s">
        <v>441</v>
      </c>
      <c r="B343" s="318"/>
      <c r="C343" s="318"/>
      <c r="D343" s="121">
        <v>5</v>
      </c>
      <c r="E343" s="164" t="s">
        <v>442</v>
      </c>
      <c r="F343" s="317"/>
      <c r="G343" s="317"/>
      <c r="H343" s="317"/>
      <c r="I343" s="317"/>
      <c r="J343" s="317"/>
      <c r="K343" s="317"/>
    </row>
    <row r="344" spans="1:11" ht="15">
      <c r="A344" s="319" t="s">
        <v>443</v>
      </c>
      <c r="B344" s="319"/>
      <c r="C344" s="319"/>
      <c r="D344" s="149">
        <v>5</v>
      </c>
      <c r="E344" s="164" t="s">
        <v>444</v>
      </c>
      <c r="F344" s="317"/>
      <c r="G344" s="317"/>
      <c r="H344" s="317"/>
      <c r="I344" s="317"/>
      <c r="J344" s="317"/>
      <c r="K344" s="317"/>
    </row>
    <row r="345" spans="1:11" ht="15">
      <c r="A345" s="319" t="s">
        <v>445</v>
      </c>
      <c r="B345" s="319"/>
      <c r="C345" s="319"/>
      <c r="D345" s="149">
        <v>5</v>
      </c>
      <c r="E345" s="164" t="s">
        <v>446</v>
      </c>
      <c r="F345" s="317"/>
      <c r="G345" s="317"/>
      <c r="H345" s="317"/>
      <c r="I345" s="317"/>
      <c r="J345" s="317"/>
      <c r="K345" s="317"/>
    </row>
    <row r="346" spans="1:11" ht="15">
      <c r="A346" s="108"/>
      <c r="B346" s="108"/>
      <c r="C346" s="109"/>
      <c r="D346" s="110"/>
      <c r="E346" s="108"/>
      <c r="F346" s="110"/>
      <c r="G346" s="108"/>
      <c r="H346" s="110"/>
      <c r="I346" s="108"/>
      <c r="J346" s="110"/>
      <c r="K346" s="108"/>
    </row>
    <row r="347" spans="1:11" ht="15">
      <c r="A347" s="111" t="s">
        <v>447</v>
      </c>
      <c r="B347" s="111"/>
      <c r="C347" s="111"/>
      <c r="D347" s="108"/>
      <c r="E347" s="108"/>
      <c r="F347" s="108"/>
      <c r="G347" s="108"/>
      <c r="H347" s="108"/>
      <c r="I347" s="108"/>
      <c r="J347" s="108"/>
      <c r="K347" s="113"/>
    </row>
    <row r="348" spans="1:11" ht="15.75" customHeight="1">
      <c r="A348" s="340" t="s">
        <v>2</v>
      </c>
      <c r="B348" s="340"/>
      <c r="C348" s="341"/>
      <c r="D348" s="304" t="s">
        <v>3</v>
      </c>
      <c r="E348" s="304"/>
      <c r="F348" s="304"/>
      <c r="G348" s="304"/>
      <c r="H348" s="305"/>
      <c r="I348" s="305"/>
      <c r="J348" s="304"/>
      <c r="K348" s="304"/>
    </row>
    <row r="349" spans="1:11" ht="12.75" customHeight="1">
      <c r="A349" s="340"/>
      <c r="B349" s="340"/>
      <c r="C349" s="341"/>
      <c r="D349" s="306" t="s">
        <v>4</v>
      </c>
      <c r="E349" s="307"/>
      <c r="F349" s="306" t="s">
        <v>5</v>
      </c>
      <c r="G349" s="307"/>
      <c r="H349" s="308" t="s">
        <v>6</v>
      </c>
      <c r="I349" s="309"/>
      <c r="J349" s="313" t="s">
        <v>7</v>
      </c>
      <c r="K349" s="314"/>
    </row>
    <row r="350" spans="1:11" ht="15">
      <c r="A350" s="340"/>
      <c r="B350" s="340"/>
      <c r="C350" s="341"/>
      <c r="D350" s="310" t="s">
        <v>8</v>
      </c>
      <c r="E350" s="311"/>
      <c r="F350" s="310" t="s">
        <v>8</v>
      </c>
      <c r="G350" s="311"/>
      <c r="H350" s="308"/>
      <c r="I350" s="309"/>
      <c r="J350" s="315"/>
      <c r="K350" s="316"/>
    </row>
    <row r="351" spans="1:11" ht="15">
      <c r="A351" s="342"/>
      <c r="B351" s="342"/>
      <c r="C351" s="343"/>
      <c r="D351" s="116" t="s">
        <v>12</v>
      </c>
      <c r="E351" s="116" t="s">
        <v>13</v>
      </c>
      <c r="F351" s="116" t="s">
        <v>12</v>
      </c>
      <c r="G351" s="116" t="s">
        <v>13</v>
      </c>
      <c r="H351" s="114" t="s">
        <v>12</v>
      </c>
      <c r="I351" s="114" t="s">
        <v>13</v>
      </c>
      <c r="J351" s="116" t="s">
        <v>12</v>
      </c>
      <c r="K351" s="116" t="s">
        <v>13</v>
      </c>
    </row>
    <row r="352" spans="1:11" ht="15">
      <c r="A352" s="312" t="s">
        <v>448</v>
      </c>
      <c r="B352" s="312"/>
      <c r="C352" s="312"/>
      <c r="D352" s="212">
        <v>299</v>
      </c>
      <c r="E352" s="164" t="s">
        <v>540</v>
      </c>
      <c r="F352" s="212">
        <v>149.5</v>
      </c>
      <c r="G352" s="164" t="s">
        <v>541</v>
      </c>
      <c r="H352" s="212">
        <v>59.8</v>
      </c>
      <c r="I352" s="164" t="s">
        <v>542</v>
      </c>
      <c r="J352" s="212">
        <v>44.85</v>
      </c>
      <c r="K352" s="164" t="s">
        <v>543</v>
      </c>
    </row>
    <row r="353" spans="1:11" ht="15">
      <c r="A353" s="312" t="s">
        <v>449</v>
      </c>
      <c r="B353" s="312"/>
      <c r="C353" s="312"/>
      <c r="D353" s="212">
        <v>272.08999999999997</v>
      </c>
      <c r="E353" s="164" t="s">
        <v>544</v>
      </c>
      <c r="F353" s="212">
        <v>136.05000000000001</v>
      </c>
      <c r="G353" s="164" t="s">
        <v>545</v>
      </c>
      <c r="H353" s="212">
        <v>54.42</v>
      </c>
      <c r="I353" s="164" t="s">
        <v>546</v>
      </c>
      <c r="J353" s="212">
        <v>40.81</v>
      </c>
      <c r="K353" s="164" t="s">
        <v>547</v>
      </c>
    </row>
    <row r="354" spans="1:11" ht="15">
      <c r="A354" s="312" t="s">
        <v>450</v>
      </c>
      <c r="B354" s="312"/>
      <c r="C354" s="312"/>
      <c r="D354" s="212">
        <v>262.52</v>
      </c>
      <c r="E354" s="164" t="s">
        <v>548</v>
      </c>
      <c r="F354" s="212">
        <v>131.26</v>
      </c>
      <c r="G354" s="164" t="s">
        <v>549</v>
      </c>
      <c r="H354" s="212">
        <v>52.5</v>
      </c>
      <c r="I354" s="164" t="s">
        <v>550</v>
      </c>
      <c r="J354" s="212">
        <v>39.380000000000003</v>
      </c>
      <c r="K354" s="164" t="s">
        <v>551</v>
      </c>
    </row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</sheetData>
  <sheetProtection selectLockedCells="1" selectUnlockedCells="1"/>
  <mergeCells count="365">
    <mergeCell ref="D128:K128"/>
    <mergeCell ref="A294:C297"/>
    <mergeCell ref="A313:C315"/>
    <mergeCell ref="A348:C351"/>
    <mergeCell ref="A325:C325"/>
    <mergeCell ref="B265:C265"/>
    <mergeCell ref="B266:C266"/>
    <mergeCell ref="B267:C267"/>
    <mergeCell ref="B263:C263"/>
    <mergeCell ref="B264:C264"/>
    <mergeCell ref="A306:C306"/>
    <mergeCell ref="A307:C307"/>
    <mergeCell ref="A322:C322"/>
    <mergeCell ref="A323:C323"/>
    <mergeCell ref="A324:C324"/>
    <mergeCell ref="A309:K309"/>
    <mergeCell ref="J174:K175"/>
    <mergeCell ref="D175:E175"/>
    <mergeCell ref="F175:G175"/>
    <mergeCell ref="D186:K186"/>
    <mergeCell ref="D187:E187"/>
    <mergeCell ref="D226:K226"/>
    <mergeCell ref="D227:E227"/>
    <mergeCell ref="F227:G227"/>
    <mergeCell ref="J62:K63"/>
    <mergeCell ref="J71:K72"/>
    <mergeCell ref="A241:C241"/>
    <mergeCell ref="A316:C316"/>
    <mergeCell ref="A143:C146"/>
    <mergeCell ref="A159:C162"/>
    <mergeCell ref="A173:C176"/>
    <mergeCell ref="A186:C189"/>
    <mergeCell ref="A274:C276"/>
    <mergeCell ref="A206:C206"/>
    <mergeCell ref="F206:G207"/>
    <mergeCell ref="H206:I207"/>
    <mergeCell ref="J206:K207"/>
    <mergeCell ref="A207:C207"/>
    <mergeCell ref="D213:K213"/>
    <mergeCell ref="D214:E214"/>
    <mergeCell ref="F214:G214"/>
    <mergeCell ref="H214:I215"/>
    <mergeCell ref="D215:E215"/>
    <mergeCell ref="A87:C87"/>
    <mergeCell ref="A255:C255"/>
    <mergeCell ref="A198:C200"/>
    <mergeCell ref="A213:C215"/>
    <mergeCell ref="A61:C64"/>
    <mergeCell ref="J35:K36"/>
    <mergeCell ref="J48:K50"/>
    <mergeCell ref="J227:K228"/>
    <mergeCell ref="J238:K239"/>
    <mergeCell ref="A231:C231"/>
    <mergeCell ref="A232:C232"/>
    <mergeCell ref="D198:K198"/>
    <mergeCell ref="D199:E199"/>
    <mergeCell ref="F199:G199"/>
    <mergeCell ref="H199:I200"/>
    <mergeCell ref="J199:K200"/>
    <mergeCell ref="D200:E200"/>
    <mergeCell ref="F200:G200"/>
    <mergeCell ref="A65:C65"/>
    <mergeCell ref="A66:C66"/>
    <mergeCell ref="D144:E144"/>
    <mergeCell ref="F144:G144"/>
    <mergeCell ref="D145:E145"/>
    <mergeCell ref="F145:G145"/>
    <mergeCell ref="A140:K140"/>
    <mergeCell ref="A128:C131"/>
    <mergeCell ref="J93:K94"/>
    <mergeCell ref="J80:K81"/>
    <mergeCell ref="F215:G215"/>
    <mergeCell ref="D11:K11"/>
    <mergeCell ref="D12:E12"/>
    <mergeCell ref="F12:G12"/>
    <mergeCell ref="H12:I13"/>
    <mergeCell ref="A11:C13"/>
    <mergeCell ref="D13:E13"/>
    <mergeCell ref="F13:G13"/>
    <mergeCell ref="D22:K22"/>
    <mergeCell ref="D23:E23"/>
    <mergeCell ref="F23:G23"/>
    <mergeCell ref="H23:I24"/>
    <mergeCell ref="A22:C24"/>
    <mergeCell ref="J12:K13"/>
    <mergeCell ref="J23:K24"/>
    <mergeCell ref="D34:K34"/>
    <mergeCell ref="D35:E35"/>
    <mergeCell ref="F35:G35"/>
    <mergeCell ref="H35:I36"/>
    <mergeCell ref="D24:E24"/>
    <mergeCell ref="F24:G24"/>
    <mergeCell ref="A164:C164"/>
    <mergeCell ref="A165:C165"/>
    <mergeCell ref="J129:K130"/>
    <mergeCell ref="A34:C36"/>
    <mergeCell ref="D36:E36"/>
    <mergeCell ref="F36:G36"/>
    <mergeCell ref="F38:G41"/>
    <mergeCell ref="H38:I41"/>
    <mergeCell ref="J38:K41"/>
    <mergeCell ref="F119:G119"/>
    <mergeCell ref="H119:I120"/>
    <mergeCell ref="J119:K120"/>
    <mergeCell ref="D120:E120"/>
    <mergeCell ref="F120:G120"/>
    <mergeCell ref="J106:K107"/>
    <mergeCell ref="D107:E107"/>
    <mergeCell ref="F107:G107"/>
    <mergeCell ref="A109:C109"/>
    <mergeCell ref="A47:C50"/>
    <mergeCell ref="A132:C132"/>
    <mergeCell ref="A133:C133"/>
    <mergeCell ref="A134:C134"/>
    <mergeCell ref="A147:C147"/>
    <mergeCell ref="A148:C148"/>
    <mergeCell ref="A149:C149"/>
    <mergeCell ref="A150:C150"/>
    <mergeCell ref="A151:C151"/>
    <mergeCell ref="A70:C73"/>
    <mergeCell ref="A110:C110"/>
    <mergeCell ref="A111:C111"/>
    <mergeCell ref="A105:C107"/>
    <mergeCell ref="F106:G106"/>
    <mergeCell ref="H106:I107"/>
    <mergeCell ref="A118:C120"/>
    <mergeCell ref="D118:K118"/>
    <mergeCell ref="D119:E119"/>
    <mergeCell ref="F217:G220"/>
    <mergeCell ref="H217:I220"/>
    <mergeCell ref="J217:K220"/>
    <mergeCell ref="D130:E130"/>
    <mergeCell ref="F130:G130"/>
    <mergeCell ref="D150:E153"/>
    <mergeCell ref="D143:K143"/>
    <mergeCell ref="H144:I145"/>
    <mergeCell ref="J144:K145"/>
    <mergeCell ref="F163:G165"/>
    <mergeCell ref="H163:I165"/>
    <mergeCell ref="J163:K165"/>
    <mergeCell ref="A155:K155"/>
    <mergeCell ref="D159:K159"/>
    <mergeCell ref="D160:E160"/>
    <mergeCell ref="J214:K215"/>
    <mergeCell ref="A152:C152"/>
    <mergeCell ref="A153:C153"/>
    <mergeCell ref="A163:C163"/>
    <mergeCell ref="D47:K47"/>
    <mergeCell ref="D48:E48"/>
    <mergeCell ref="F48:G48"/>
    <mergeCell ref="H48:I50"/>
    <mergeCell ref="D50:E50"/>
    <mergeCell ref="F50:G50"/>
    <mergeCell ref="F52:G55"/>
    <mergeCell ref="H52:I55"/>
    <mergeCell ref="J52:K55"/>
    <mergeCell ref="H227:I228"/>
    <mergeCell ref="D228:E228"/>
    <mergeCell ref="A226:C230"/>
    <mergeCell ref="F228:G228"/>
    <mergeCell ref="D232:E232"/>
    <mergeCell ref="F160:G160"/>
    <mergeCell ref="H160:I161"/>
    <mergeCell ref="J160:K161"/>
    <mergeCell ref="D161:E161"/>
    <mergeCell ref="F161:G161"/>
    <mergeCell ref="A177:C177"/>
    <mergeCell ref="F177:G179"/>
    <mergeCell ref="H177:I179"/>
    <mergeCell ref="J177:K179"/>
    <mergeCell ref="A178:C178"/>
    <mergeCell ref="A179:C179"/>
    <mergeCell ref="A169:K169"/>
    <mergeCell ref="D173:K173"/>
    <mergeCell ref="D174:E174"/>
    <mergeCell ref="F174:G174"/>
    <mergeCell ref="H174:I175"/>
    <mergeCell ref="D237:K237"/>
    <mergeCell ref="D238:E238"/>
    <mergeCell ref="F238:G238"/>
    <mergeCell ref="H238:I239"/>
    <mergeCell ref="D239:E239"/>
    <mergeCell ref="A237:C240"/>
    <mergeCell ref="D70:K70"/>
    <mergeCell ref="D71:E71"/>
    <mergeCell ref="F71:G71"/>
    <mergeCell ref="H71:I72"/>
    <mergeCell ref="F239:G239"/>
    <mergeCell ref="A79:C81"/>
    <mergeCell ref="H93:I94"/>
    <mergeCell ref="D94:E94"/>
    <mergeCell ref="F94:G94"/>
    <mergeCell ref="A92:C94"/>
    <mergeCell ref="D129:E129"/>
    <mergeCell ref="F129:G129"/>
    <mergeCell ref="H129:I130"/>
    <mergeCell ref="A135:C135"/>
    <mergeCell ref="D135:E138"/>
    <mergeCell ref="A136:C136"/>
    <mergeCell ref="A137:C137"/>
    <mergeCell ref="A138:C138"/>
    <mergeCell ref="F241:G241"/>
    <mergeCell ref="H241:I241"/>
    <mergeCell ref="J241:K241"/>
    <mergeCell ref="D61:K61"/>
    <mergeCell ref="D62:E62"/>
    <mergeCell ref="F62:G62"/>
    <mergeCell ref="H62:I63"/>
    <mergeCell ref="D72:E72"/>
    <mergeCell ref="F72:G72"/>
    <mergeCell ref="F74:G74"/>
    <mergeCell ref="H74:I74"/>
    <mergeCell ref="J74:K74"/>
    <mergeCell ref="D63:E63"/>
    <mergeCell ref="F63:G63"/>
    <mergeCell ref="D66:E66"/>
    <mergeCell ref="D79:K79"/>
    <mergeCell ref="D80:E80"/>
    <mergeCell ref="F80:G80"/>
    <mergeCell ref="H80:I81"/>
    <mergeCell ref="D81:E81"/>
    <mergeCell ref="F81:G81"/>
    <mergeCell ref="D92:K92"/>
    <mergeCell ref="D93:E93"/>
    <mergeCell ref="F93:G93"/>
    <mergeCell ref="D247:K247"/>
    <mergeCell ref="D248:E248"/>
    <mergeCell ref="F248:G248"/>
    <mergeCell ref="H248:I249"/>
    <mergeCell ref="D249:E249"/>
    <mergeCell ref="F249:G249"/>
    <mergeCell ref="A247:C249"/>
    <mergeCell ref="D260:K260"/>
    <mergeCell ref="D261:E261"/>
    <mergeCell ref="F261:G261"/>
    <mergeCell ref="H261:I262"/>
    <mergeCell ref="D262:E262"/>
    <mergeCell ref="F262:G262"/>
    <mergeCell ref="A260:C262"/>
    <mergeCell ref="J261:K262"/>
    <mergeCell ref="J248:K249"/>
    <mergeCell ref="D274:K274"/>
    <mergeCell ref="D275:E275"/>
    <mergeCell ref="F275:G275"/>
    <mergeCell ref="H275:I275"/>
    <mergeCell ref="J275:K275"/>
    <mergeCell ref="B95:C95"/>
    <mergeCell ref="B96:C96"/>
    <mergeCell ref="F96:G99"/>
    <mergeCell ref="H96:I99"/>
    <mergeCell ref="J96:K99"/>
    <mergeCell ref="B97:C97"/>
    <mergeCell ref="B98:C98"/>
    <mergeCell ref="B99:C99"/>
    <mergeCell ref="F111:G111"/>
    <mergeCell ref="H111:I111"/>
    <mergeCell ref="J111:K111"/>
    <mergeCell ref="A122:C122"/>
    <mergeCell ref="F122:G123"/>
    <mergeCell ref="H122:I123"/>
    <mergeCell ref="J122:K123"/>
    <mergeCell ref="A123:C123"/>
    <mergeCell ref="F264:G267"/>
    <mergeCell ref="H264:I267"/>
    <mergeCell ref="J264:K267"/>
    <mergeCell ref="J277:K288"/>
    <mergeCell ref="A283:C283"/>
    <mergeCell ref="A284:C284"/>
    <mergeCell ref="A285:C285"/>
    <mergeCell ref="A286:C286"/>
    <mergeCell ref="A287:C287"/>
    <mergeCell ref="A288:C288"/>
    <mergeCell ref="A277:C277"/>
    <mergeCell ref="H277:I288"/>
    <mergeCell ref="A278:C278"/>
    <mergeCell ref="A279:C279"/>
    <mergeCell ref="A280:C280"/>
    <mergeCell ref="A281:C281"/>
    <mergeCell ref="A282:C282"/>
    <mergeCell ref="F282:G282"/>
    <mergeCell ref="F288:G288"/>
    <mergeCell ref="D105:K105"/>
    <mergeCell ref="D106:E106"/>
    <mergeCell ref="F187:G187"/>
    <mergeCell ref="H187:I188"/>
    <mergeCell ref="J187:K188"/>
    <mergeCell ref="D188:E188"/>
    <mergeCell ref="F188:G188"/>
    <mergeCell ref="A183:K183"/>
    <mergeCell ref="A305:C305"/>
    <mergeCell ref="A190:C190"/>
    <mergeCell ref="A191:C191"/>
    <mergeCell ref="A192:C192"/>
    <mergeCell ref="A193:C193"/>
    <mergeCell ref="A195:K195"/>
    <mergeCell ref="J295:K296"/>
    <mergeCell ref="D296:E296"/>
    <mergeCell ref="F296:G296"/>
    <mergeCell ref="B216:C216"/>
    <mergeCell ref="B217:C217"/>
    <mergeCell ref="B218:C218"/>
    <mergeCell ref="B219:C219"/>
    <mergeCell ref="B220:C220"/>
    <mergeCell ref="D294:K294"/>
    <mergeCell ref="D295:E295"/>
    <mergeCell ref="A298:C298"/>
    <mergeCell ref="A299:C299"/>
    <mergeCell ref="A300:C300"/>
    <mergeCell ref="A301:C301"/>
    <mergeCell ref="A302:C302"/>
    <mergeCell ref="A303:C303"/>
    <mergeCell ref="F318:G319"/>
    <mergeCell ref="H318:I319"/>
    <mergeCell ref="D313:K313"/>
    <mergeCell ref="D314:E314"/>
    <mergeCell ref="F314:G314"/>
    <mergeCell ref="H314:I314"/>
    <mergeCell ref="F295:G295"/>
    <mergeCell ref="H295:I296"/>
    <mergeCell ref="J314:K314"/>
    <mergeCell ref="A304:C304"/>
    <mergeCell ref="A330:B330"/>
    <mergeCell ref="A331:B332"/>
    <mergeCell ref="F331:G335"/>
    <mergeCell ref="H331:I335"/>
    <mergeCell ref="J331:K335"/>
    <mergeCell ref="A333:B335"/>
    <mergeCell ref="A326:F326"/>
    <mergeCell ref="A328:C329"/>
    <mergeCell ref="D328:K328"/>
    <mergeCell ref="D329:E329"/>
    <mergeCell ref="F329:G329"/>
    <mergeCell ref="H329:I329"/>
    <mergeCell ref="J329:K329"/>
    <mergeCell ref="F322:G325"/>
    <mergeCell ref="H322:I325"/>
    <mergeCell ref="A317:C317"/>
    <mergeCell ref="A318:C318"/>
    <mergeCell ref="A319:C319"/>
    <mergeCell ref="A320:C320"/>
    <mergeCell ref="A321:C321"/>
    <mergeCell ref="F342:G345"/>
    <mergeCell ref="H342:I345"/>
    <mergeCell ref="J342:K345"/>
    <mergeCell ref="A343:C343"/>
    <mergeCell ref="A344:C344"/>
    <mergeCell ref="A345:C345"/>
    <mergeCell ref="A339:C340"/>
    <mergeCell ref="D339:K339"/>
    <mergeCell ref="D340:E340"/>
    <mergeCell ref="F340:G340"/>
    <mergeCell ref="H340:I340"/>
    <mergeCell ref="J340:K340"/>
    <mergeCell ref="A341:C341"/>
    <mergeCell ref="A342:C342"/>
    <mergeCell ref="D348:K348"/>
    <mergeCell ref="D349:E349"/>
    <mergeCell ref="F349:G349"/>
    <mergeCell ref="H349:I350"/>
    <mergeCell ref="D350:E350"/>
    <mergeCell ref="F350:G350"/>
    <mergeCell ref="A352:C352"/>
    <mergeCell ref="A353:C353"/>
    <mergeCell ref="A354:C354"/>
    <mergeCell ref="J349:K350"/>
  </mergeCells>
  <pageMargins left="0.25" right="0.25" top="0.75" bottom="0.75" header="0.3" footer="0.3"/>
  <pageSetup scale="48" fitToHeight="0" orientation="portrait" r:id="rId1"/>
  <headerFooter alignWithMargins="0"/>
  <rowBreaks count="4" manualBreakCount="4">
    <brk id="89" max="10" man="1"/>
    <brk id="184" max="10" man="1"/>
    <brk id="272" max="10" man="1"/>
    <brk id="326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A5" sqref="A5:L5"/>
    </sheetView>
  </sheetViews>
  <sheetFormatPr baseColWidth="10" defaultColWidth="9.140625" defaultRowHeight="12.75"/>
  <cols>
    <col min="1" max="1" width="25.5703125" style="105" bestFit="1" customWidth="1"/>
    <col min="2" max="3" width="4.42578125" style="105" bestFit="1" customWidth="1"/>
    <col min="4" max="4" width="13.7109375" style="105" bestFit="1" customWidth="1"/>
    <col min="5" max="5" width="13.140625" style="105" customWidth="1"/>
    <col min="6" max="6" width="26.7109375" style="105" bestFit="1" customWidth="1"/>
    <col min="7" max="7" width="17.28515625" style="105" customWidth="1"/>
    <col min="8" max="8" width="10.140625" style="105" bestFit="1" customWidth="1"/>
    <col min="9" max="9" width="14.85546875" style="105" bestFit="1" customWidth="1"/>
    <col min="10" max="10" width="18.42578125" style="105" bestFit="1" customWidth="1"/>
    <col min="11" max="12" width="9.140625" style="105"/>
    <col min="13" max="13" width="22" style="105" bestFit="1" customWidth="1"/>
    <col min="14" max="14" width="9.140625" style="105"/>
    <col min="15" max="15" width="33.140625" style="105" bestFit="1" customWidth="1"/>
    <col min="16" max="16384" width="9.140625" style="105"/>
  </cols>
  <sheetData>
    <row r="1" spans="1:15" ht="13.5" thickBot="1">
      <c r="A1" s="173">
        <v>1</v>
      </c>
      <c r="B1" s="173">
        <v>2</v>
      </c>
      <c r="C1" s="173">
        <v>3</v>
      </c>
      <c r="D1" s="173">
        <v>4</v>
      </c>
      <c r="E1" s="173">
        <v>5</v>
      </c>
      <c r="F1" s="173">
        <v>6</v>
      </c>
      <c r="G1" s="173">
        <v>7</v>
      </c>
      <c r="H1" s="173">
        <v>8</v>
      </c>
      <c r="I1" s="173">
        <v>9</v>
      </c>
      <c r="J1" s="173">
        <v>10</v>
      </c>
      <c r="K1" s="173">
        <v>11</v>
      </c>
      <c r="L1" s="173">
        <v>12</v>
      </c>
    </row>
    <row r="2" spans="1:15" ht="13.5">
      <c r="A2" s="189" t="s">
        <v>469</v>
      </c>
      <c r="B2" s="190" t="s">
        <v>470</v>
      </c>
      <c r="C2" s="190" t="s">
        <v>471</v>
      </c>
      <c r="D2" s="190"/>
      <c r="E2" s="190"/>
      <c r="F2" s="190" t="s">
        <v>568</v>
      </c>
      <c r="G2" s="190" t="s">
        <v>472</v>
      </c>
      <c r="H2" s="190" t="s">
        <v>473</v>
      </c>
      <c r="I2" s="190" t="s">
        <v>511</v>
      </c>
      <c r="J2" s="190" t="s">
        <v>487</v>
      </c>
      <c r="K2" s="190" t="s">
        <v>491</v>
      </c>
      <c r="L2" s="191" t="s">
        <v>492</v>
      </c>
      <c r="M2" s="192" t="s">
        <v>474</v>
      </c>
    </row>
    <row r="3" spans="1:15" ht="14.25" thickBot="1">
      <c r="A3" s="193" t="s">
        <v>477</v>
      </c>
      <c r="B3" s="194" t="s">
        <v>478</v>
      </c>
      <c r="C3" s="194" t="s">
        <v>476</v>
      </c>
      <c r="D3" s="194"/>
      <c r="E3" s="194"/>
      <c r="F3" s="194">
        <v>0.69452968036529672</v>
      </c>
      <c r="G3" s="194" t="s">
        <v>475</v>
      </c>
      <c r="H3" s="194">
        <v>2</v>
      </c>
      <c r="I3" s="195" t="s">
        <v>21</v>
      </c>
      <c r="J3" s="196" t="s">
        <v>488</v>
      </c>
      <c r="K3" s="196">
        <v>0.75</v>
      </c>
      <c r="L3" s="197">
        <v>0.65</v>
      </c>
      <c r="M3" s="198">
        <v>42917</v>
      </c>
    </row>
    <row r="4" spans="1:15" ht="14.25" thickBot="1">
      <c r="A4" s="193" t="s">
        <v>479</v>
      </c>
      <c r="B4" s="194" t="s">
        <v>480</v>
      </c>
      <c r="C4" s="194" t="s">
        <v>476</v>
      </c>
      <c r="D4" s="194"/>
      <c r="E4" s="194"/>
      <c r="F4" s="194">
        <v>0.79897716894977133</v>
      </c>
      <c r="G4" s="194" t="s">
        <v>475</v>
      </c>
      <c r="H4" s="194">
        <v>2</v>
      </c>
      <c r="I4" s="195" t="s">
        <v>21</v>
      </c>
      <c r="J4" s="196" t="s">
        <v>488</v>
      </c>
      <c r="K4" s="196">
        <v>0.75</v>
      </c>
      <c r="L4" s="197">
        <v>0.65</v>
      </c>
    </row>
    <row r="5" spans="1:15" ht="13.5">
      <c r="A5" s="193" t="s">
        <v>481</v>
      </c>
      <c r="B5" s="194" t="s">
        <v>482</v>
      </c>
      <c r="C5" s="194" t="s">
        <v>476</v>
      </c>
      <c r="D5" s="194"/>
      <c r="E5" s="194"/>
      <c r="F5" s="194">
        <v>0.97595551654622259</v>
      </c>
      <c r="G5" s="194" t="s">
        <v>475</v>
      </c>
      <c r="H5" s="194">
        <v>1</v>
      </c>
      <c r="I5" s="195" t="s">
        <v>21</v>
      </c>
      <c r="J5" s="196" t="s">
        <v>488</v>
      </c>
      <c r="K5" s="196">
        <v>0.75</v>
      </c>
      <c r="L5" s="197">
        <v>0.65</v>
      </c>
      <c r="M5" s="199" t="s">
        <v>528</v>
      </c>
      <c r="N5" s="199">
        <v>1</v>
      </c>
      <c r="O5" s="200" t="s">
        <v>529</v>
      </c>
    </row>
    <row r="6" spans="1:15" ht="14.25" thickBot="1">
      <c r="A6" s="193"/>
      <c r="B6" s="194"/>
      <c r="C6" s="194"/>
      <c r="D6" s="194"/>
      <c r="E6" s="194"/>
      <c r="F6" s="194"/>
      <c r="G6" s="194"/>
      <c r="H6" s="194"/>
      <c r="I6" s="201"/>
      <c r="J6" s="196"/>
      <c r="K6" s="196"/>
      <c r="L6" s="197"/>
      <c r="M6" s="202" t="s">
        <v>531</v>
      </c>
      <c r="N6" s="202">
        <v>0.75</v>
      </c>
      <c r="O6" s="203" t="s">
        <v>530</v>
      </c>
    </row>
    <row r="7" spans="1:15" ht="13.5">
      <c r="A7" s="193"/>
      <c r="B7" s="194"/>
      <c r="C7" s="194"/>
      <c r="D7" s="194"/>
      <c r="E7" s="194"/>
      <c r="F7" s="225"/>
      <c r="G7" s="194"/>
      <c r="H7" s="194"/>
      <c r="I7" s="195"/>
      <c r="J7" s="196"/>
      <c r="K7" s="196"/>
      <c r="L7" s="197"/>
    </row>
    <row r="9" spans="1:15" ht="13.5">
      <c r="A9" s="193"/>
      <c r="B9" s="194"/>
      <c r="C9" s="194"/>
      <c r="D9" s="194"/>
      <c r="E9" s="194"/>
      <c r="F9" s="194"/>
      <c r="G9" s="194"/>
      <c r="H9" s="194"/>
      <c r="I9" s="195"/>
      <c r="J9" s="196"/>
      <c r="K9" s="196"/>
      <c r="L9" s="197"/>
    </row>
    <row r="10" spans="1:15" ht="13.5">
      <c r="A10" s="193"/>
      <c r="B10" s="194"/>
      <c r="C10" s="194"/>
      <c r="D10" s="194"/>
      <c r="E10" s="194"/>
      <c r="F10" s="194"/>
      <c r="G10" s="194"/>
      <c r="H10" s="194"/>
      <c r="I10" s="195"/>
      <c r="J10" s="196"/>
      <c r="K10" s="196"/>
      <c r="L10" s="197"/>
    </row>
    <row r="12" spans="1:15" ht="13.5">
      <c r="A12" s="193"/>
      <c r="B12" s="194"/>
      <c r="C12" s="194"/>
      <c r="D12" s="194"/>
      <c r="E12" s="194"/>
      <c r="F12" s="194"/>
      <c r="G12" s="194"/>
      <c r="H12" s="194"/>
      <c r="I12" s="195"/>
      <c r="J12" s="196"/>
      <c r="K12" s="196"/>
      <c r="L12" s="197"/>
    </row>
    <row r="13" spans="1:15" ht="13.5">
      <c r="A13" s="193"/>
      <c r="B13" s="194"/>
      <c r="C13" s="194"/>
      <c r="D13" s="194"/>
      <c r="E13" s="194"/>
      <c r="F13" s="194"/>
      <c r="G13" s="194"/>
      <c r="H13" s="194"/>
      <c r="I13" s="195"/>
      <c r="J13" s="196"/>
      <c r="K13" s="196"/>
      <c r="L13" s="197"/>
    </row>
    <row r="14" spans="1:15" ht="13.5">
      <c r="A14" s="193"/>
      <c r="B14" s="194"/>
      <c r="C14" s="194"/>
      <c r="D14" s="194"/>
      <c r="E14" s="194"/>
      <c r="F14" s="194"/>
      <c r="G14" s="194"/>
      <c r="H14" s="194"/>
      <c r="I14" s="195"/>
      <c r="J14" s="196"/>
      <c r="K14" s="196"/>
      <c r="L14" s="197"/>
    </row>
    <row r="15" spans="1:15" ht="13.5">
      <c r="A15" s="193"/>
      <c r="B15" s="194"/>
      <c r="C15" s="194"/>
      <c r="D15" s="194"/>
      <c r="E15" s="194"/>
      <c r="F15" s="194"/>
      <c r="G15" s="194"/>
      <c r="H15" s="194"/>
      <c r="I15" s="195"/>
      <c r="J15" s="196"/>
      <c r="K15" s="196"/>
      <c r="L15" s="197"/>
    </row>
    <row r="16" spans="1:15" ht="13.5">
      <c r="A16" s="193"/>
      <c r="B16" s="194"/>
      <c r="C16" s="194"/>
      <c r="D16" s="194"/>
      <c r="E16" s="194"/>
      <c r="F16" s="194"/>
      <c r="G16" s="194"/>
      <c r="H16" s="194"/>
      <c r="I16" s="195"/>
      <c r="J16" s="196"/>
      <c r="K16" s="196"/>
      <c r="L16" s="197"/>
    </row>
    <row r="17" spans="1:12" ht="13.5">
      <c r="A17" s="193"/>
      <c r="B17" s="194"/>
      <c r="C17" s="194"/>
      <c r="D17" s="194"/>
      <c r="E17" s="194"/>
      <c r="F17" s="194"/>
      <c r="G17" s="194"/>
      <c r="H17" s="194"/>
      <c r="I17" s="195"/>
      <c r="J17" s="196"/>
      <c r="K17" s="196"/>
      <c r="L17" s="197"/>
    </row>
    <row r="18" spans="1:12" ht="13.5">
      <c r="A18" s="193"/>
      <c r="B18" s="194"/>
      <c r="C18" s="194"/>
      <c r="D18" s="194"/>
      <c r="E18" s="194"/>
      <c r="F18" s="194"/>
      <c r="G18" s="194"/>
      <c r="H18" s="194"/>
      <c r="I18" s="195"/>
      <c r="J18" s="196"/>
      <c r="K18" s="196"/>
      <c r="L18" s="197"/>
    </row>
    <row r="19" spans="1:12" ht="13.5">
      <c r="A19" s="193"/>
      <c r="B19" s="194"/>
      <c r="C19" s="194"/>
      <c r="D19" s="194"/>
      <c r="E19" s="194"/>
      <c r="F19" s="194"/>
      <c r="G19" s="194"/>
      <c r="H19" s="194"/>
      <c r="I19" s="195"/>
      <c r="J19" s="196"/>
      <c r="K19" s="196"/>
      <c r="L19" s="197"/>
    </row>
    <row r="21" spans="1:12" ht="13.5">
      <c r="A21" s="193"/>
      <c r="B21" s="194"/>
      <c r="C21" s="194"/>
      <c r="D21" s="194"/>
      <c r="E21" s="194"/>
      <c r="F21" s="194"/>
      <c r="G21" s="194"/>
      <c r="H21" s="194"/>
      <c r="I21" s="195"/>
      <c r="J21" s="196"/>
      <c r="K21" s="196"/>
      <c r="L21" s="197"/>
    </row>
    <row r="22" spans="1:12" ht="14.25" thickBot="1">
      <c r="A22" s="204"/>
      <c r="B22" s="205"/>
      <c r="C22" s="205"/>
      <c r="D22" s="205"/>
      <c r="E22" s="205"/>
      <c r="F22" s="205"/>
      <c r="G22" s="205"/>
      <c r="H22" s="205"/>
      <c r="I22" s="206"/>
      <c r="J22" s="207"/>
      <c r="K22" s="207"/>
      <c r="L22" s="203"/>
    </row>
    <row r="27" spans="1:12">
      <c r="F27" s="223"/>
    </row>
    <row r="29" spans="1:12">
      <c r="G29" s="105">
        <v>874.87760000000003</v>
      </c>
    </row>
    <row r="31" spans="1:12">
      <c r="D31" s="105">
        <v>1095</v>
      </c>
      <c r="E31" s="226">
        <f>ROUND(D31*F5,1)</f>
        <v>1068.7</v>
      </c>
      <c r="G31" s="105">
        <v>760.50798767984998</v>
      </c>
    </row>
    <row r="33" spans="7:7">
      <c r="G33" s="105">
        <v>1068.7450000000001</v>
      </c>
    </row>
  </sheetData>
  <sheetProtection selectLockedCells="1" selectUnlockedCells="1"/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876"/>
  <sheetViews>
    <sheetView showGridLines="0" zoomScaleNormal="100" workbookViewId="0">
      <pane xSplit="4" ySplit="3" topLeftCell="E262" activePane="bottomRight" state="frozen"/>
      <selection pane="topRight" activeCell="L1" sqref="L1"/>
      <selection pane="bottomLeft" activeCell="A4" sqref="A4"/>
      <selection pane="bottomRight" activeCell="A7" sqref="A7:C318"/>
    </sheetView>
  </sheetViews>
  <sheetFormatPr baseColWidth="10" defaultColWidth="9.140625" defaultRowHeight="12.75"/>
  <cols>
    <col min="1" max="1" width="27.28515625" customWidth="1"/>
    <col min="2" max="2" width="38.85546875" bestFit="1" customWidth="1"/>
    <col min="3" max="3" width="16.85546875" bestFit="1" customWidth="1"/>
    <col min="4" max="4" width="30.42578125" customWidth="1"/>
    <col min="5" max="5" width="16.7109375" customWidth="1"/>
    <col min="6" max="6" width="16.140625" customWidth="1"/>
    <col min="12" max="12" width="5.140625" customWidth="1"/>
  </cols>
  <sheetData>
    <row r="1" spans="1:15" ht="31.5" customHeight="1" thickBot="1">
      <c r="A1" s="356" t="str">
        <f>CONCATENATE(D1," ",HLOOKUP($O$1,Phrasing!A:A,168,FALSE))</f>
        <v>Swiss franc Pricing for StorageCraft Products</v>
      </c>
      <c r="B1" s="356"/>
      <c r="C1" s="208" t="s">
        <v>536</v>
      </c>
      <c r="D1" s="104" t="s">
        <v>481</v>
      </c>
      <c r="O1" s="92" t="s">
        <v>489</v>
      </c>
    </row>
    <row r="2" spans="1:15" ht="16.5" customHeight="1" thickBot="1">
      <c r="A2" s="356"/>
      <c r="B2" s="356"/>
      <c r="C2" s="209" t="s">
        <v>538</v>
      </c>
      <c r="D2" s="104" t="s">
        <v>531</v>
      </c>
      <c r="F2" s="86"/>
    </row>
    <row r="3" spans="1:15" ht="30.75" thickBot="1">
      <c r="A3" s="33"/>
      <c r="B3" s="1"/>
      <c r="C3" s="209" t="s">
        <v>509</v>
      </c>
      <c r="D3" s="104" t="s">
        <v>504</v>
      </c>
    </row>
    <row r="4" spans="1:15" ht="18.75">
      <c r="A4" s="9"/>
      <c r="B4" s="12"/>
      <c r="C4" s="213" t="str">
        <f>HLOOKUP($O$1,Phrasing!A:A,35,FALSE)</f>
        <v xml:space="preserve">Prices Valid:  </v>
      </c>
      <c r="D4" s="214">
        <f>XE!M3</f>
        <v>42917</v>
      </c>
      <c r="F4" s="93"/>
    </row>
    <row r="5" spans="1:15" ht="15.75" customHeight="1">
      <c r="A5" s="227"/>
      <c r="B5" s="227" t="str">
        <f>CONCATENATE(IF('Perpetual Pricing (2)'!$D$2="Standard",HLOOKUP($O$1,Phrasing!A:A,48,FALSE),IF('Perpetual Pricing (2)'!$D$2="Gov/Edu/NonProfit",HLOOKUP($O$1,Phrasing!A:A,49,FALSE),"???"))," - ",$D$3,, " - ",VLOOKUP($D$3,PARTNERPROGRAM!$U$5:$V$9,2,FALSE))</f>
        <v>Gov/Edu/Non-Profit Pricing - Non Partner - SRP</v>
      </c>
    </row>
    <row r="6" spans="1:15">
      <c r="A6" s="38" t="str">
        <f>HLOOKUP($O$1,Phrasing!A:A,43,FALSE)</f>
        <v>Part Number</v>
      </c>
      <c r="B6" s="224" t="str">
        <f>CONCATENATE(HLOOKUP($O$1,Phrasing!A:A,46,FALSE),": ",VLOOKUP('Perpetual Pricing (2)'!$D$1,XE!$A:$B,2,FALSE))</f>
        <v>Price: CHF</v>
      </c>
    </row>
    <row r="7" spans="1:15">
      <c r="A7" s="42" t="str">
        <f>CONCATENATE(LEFT(BASE!E15,6),VLOOKUP('Perpetual Pricing (2)'!$D$1,XE!$A:$C,3,FALSE),MID(BASE!E15,9,1),IF('Perpetual Pricing (2)'!$D$2="Standard","S","G"),RIGHT(BASE!E15,7))</f>
        <v>XSPX00EUPG0100ZZZ</v>
      </c>
      <c r="B7" s="85" t="str">
        <f>TEXT(ROUND(VLOOKUP('Perpetual Pricing (2)'!$D$2,XE!$M$5:$N$6,2,FALSE)*BASE!D15*VLOOKUP('Perpetual Pricing (2)'!$D$1,XE!$A:$F,6,FALSE)* (HLOOKUP($D$3,PARTNERPROGRAM!$D$7:$H$8,2,FALSE)),VLOOKUP('Perpetual Pricing (2)'!$D$1,XE!$A:$H,8,FALSE)),VLOOKUP('Perpetual Pricing (2)'!$D$1,XE!$A:$G,7,FALSE))</f>
        <v>801,500</v>
      </c>
      <c r="C7" t="str">
        <f>RIGHT($B$6,3)</f>
        <v>CHF</v>
      </c>
    </row>
    <row r="8" spans="1:15">
      <c r="A8" s="42" t="str">
        <f>CONCATENATE(LEFT(BASE!E16,6),VLOOKUP('Perpetual Pricing (2)'!$D$1,XE!$A:$C,3,FALSE),MID(BASE!E16,9,1),IF('Perpetual Pricing (2)'!$D$2="Standard","S","G"),RIGHT(BASE!E16,7))</f>
        <v>XSPX00EUPG0100ZZA</v>
      </c>
      <c r="B8" s="85" t="str">
        <f>TEXT(ROUND(VLOOKUP('Perpetual Pricing (2)'!$D$2,XE!$M$5:$N$6,2,FALSE)*BASE!D16*VLOOKUP('Perpetual Pricing (2)'!$D$1,XE!$A:$F,6,FALSE)* (HLOOKUP($D$3,PARTNERPROGRAM!$D$7:$H$8,2,FALSE)),VLOOKUP('Perpetual Pricing (2)'!$D$1,XE!$A:$H,8,FALSE)),VLOOKUP('Perpetual Pricing (2)'!$D$1,XE!$A:$G,7,FALSE))</f>
        <v>729,400</v>
      </c>
      <c r="C8" t="str">
        <f t="shared" ref="C8:C71" si="0">RIGHT($B$6,3)</f>
        <v>CHF</v>
      </c>
    </row>
    <row r="9" spans="1:15">
      <c r="A9" s="42" t="str">
        <f>CONCATENATE(LEFT(BASE!E17,6),VLOOKUP('Perpetual Pricing (2)'!$D$1,XE!$A:$C,3,FALSE),MID(BASE!E17,9,1),IF('Perpetual Pricing (2)'!$D$2="Standard","S","G"),RIGHT(BASE!E17,7))</f>
        <v>XSPX00EUPG0100ZZB</v>
      </c>
      <c r="B9" s="85" t="str">
        <f>TEXT(ROUND(VLOOKUP('Perpetual Pricing (2)'!$D$2,XE!$M$5:$N$6,2,FALSE)*BASE!D17*VLOOKUP('Perpetual Pricing (2)'!$D$1,XE!$A:$F,6,FALSE)* (HLOOKUP($D$3,PARTNERPROGRAM!$D$7:$H$8,2,FALSE)),VLOOKUP('Perpetual Pricing (2)'!$D$1,XE!$A:$H,8,FALSE)),VLOOKUP('Perpetual Pricing (2)'!$D$1,XE!$A:$G,7,FALSE))</f>
        <v>614,800</v>
      </c>
      <c r="C9" t="str">
        <f t="shared" si="0"/>
        <v>CHF</v>
      </c>
    </row>
    <row r="10" spans="1:15">
      <c r="A10" s="42" t="str">
        <f>CONCATENATE(LEFT(BASE!E18,6),VLOOKUP('Perpetual Pricing (2)'!$D$1,XE!$A:$C,3,FALSE),MID(BASE!E18,9,1),IF('Perpetual Pricing (2)'!$D$2="Standard","S","G"),RIGHT(BASE!E18,7))</f>
        <v>XSPX00EUPG0100ZZC</v>
      </c>
      <c r="B10" s="85" t="str">
        <f>TEXT(ROUND(VLOOKUP('Perpetual Pricing (2)'!$D$2,XE!$M$5:$N$6,2,FALSE)*BASE!D18*VLOOKUP('Perpetual Pricing (2)'!$D$1,XE!$A:$F,6,FALSE)* (HLOOKUP($D$3,PARTNERPROGRAM!$D$7:$H$8,2,FALSE)),VLOOKUP('Perpetual Pricing (2)'!$D$1,XE!$A:$H,8,FALSE)),VLOOKUP('Perpetual Pricing (2)'!$D$1,XE!$A:$G,7,FALSE))</f>
        <v>499,300</v>
      </c>
      <c r="C10" t="str">
        <f t="shared" si="0"/>
        <v>CHF</v>
      </c>
    </row>
    <row r="11" spans="1:15">
      <c r="A11" s="42" t="str">
        <f>CONCATENATE(LEFT(BASE!E26,6),VLOOKUP('Perpetual Pricing (2)'!$D$1,XE!$A:$C,3,FALSE),MID(BASE!E26,9,1),IF('Perpetual Pricing (2)'!$D$2="Standard","S","G"),RIGHT(BASE!E26,7))</f>
        <v>XSXW00EUPG0100ZZZ</v>
      </c>
      <c r="B11" s="85" t="str">
        <f>TEXT(ROUND(VLOOKUP('Perpetual Pricing (2)'!$D$2,XE!$M$5:$N$6,2,FALSE)*BASE!D26*VLOOKUP('Perpetual Pricing (2)'!$D$1,XE!$A:$F,6,FALSE)* (HLOOKUP($D$3,PARTNERPROGRAM!$D$7:$H$8,2,FALSE)),VLOOKUP('Perpetual Pricing (2)'!$D$1,XE!$A:$H,8,FALSE)),VLOOKUP('Perpetual Pricing (2)'!$D$1,XE!$A:$G,7,FALSE))</f>
        <v>801,500</v>
      </c>
      <c r="C11" t="str">
        <f t="shared" si="0"/>
        <v>CHF</v>
      </c>
    </row>
    <row r="12" spans="1:15">
      <c r="A12" s="42" t="str">
        <f>CONCATENATE(LEFT(BASE!E27,6),VLOOKUP('Perpetual Pricing (2)'!$D$1,XE!$A:$C,3,FALSE),MID(BASE!E27,9,1),IF('Perpetual Pricing (2)'!$D$2="Standard","S","G"),RIGHT(BASE!E27,7))</f>
        <v>XSXW00EUPG0100ZZA</v>
      </c>
      <c r="B12" s="85" t="str">
        <f>TEXT(ROUND(VLOOKUP('Perpetual Pricing (2)'!$D$2,XE!$M$5:$N$6,2,FALSE)*BASE!D27*VLOOKUP('Perpetual Pricing (2)'!$D$1,XE!$A:$F,6,FALSE)* (HLOOKUP($D$3,PARTNERPROGRAM!$D$7:$H$8,2,FALSE)),VLOOKUP('Perpetual Pricing (2)'!$D$1,XE!$A:$H,8,FALSE)),VLOOKUP('Perpetual Pricing (2)'!$D$1,XE!$A:$G,7,FALSE))</f>
        <v>729,400</v>
      </c>
      <c r="C12" t="str">
        <f t="shared" si="0"/>
        <v>CHF</v>
      </c>
    </row>
    <row r="13" spans="1:15">
      <c r="A13" s="42" t="str">
        <f>CONCATENATE(LEFT(BASE!E28,6),VLOOKUP('Perpetual Pricing (2)'!$D$1,XE!$A:$C,3,FALSE),MID(BASE!E28,9,1),IF('Perpetual Pricing (2)'!$D$2="Standard","S","G"),RIGHT(BASE!E28,7))</f>
        <v>XSXW00EUPG0100ZZB</v>
      </c>
      <c r="B13" s="85" t="str">
        <f>TEXT(ROUND(VLOOKUP('Perpetual Pricing (2)'!$D$2,XE!$M$5:$N$6,2,FALSE)*BASE!D28*VLOOKUP('Perpetual Pricing (2)'!$D$1,XE!$A:$F,6,FALSE)* (HLOOKUP($D$3,PARTNERPROGRAM!$D$7:$H$8,2,FALSE)),VLOOKUP('Perpetual Pricing (2)'!$D$1,XE!$A:$H,8,FALSE)),VLOOKUP('Perpetual Pricing (2)'!$D$1,XE!$A:$G,7,FALSE))</f>
        <v>614,800</v>
      </c>
      <c r="C13" t="str">
        <f t="shared" si="0"/>
        <v>CHF</v>
      </c>
    </row>
    <row r="14" spans="1:15">
      <c r="A14" s="42" t="str">
        <f>CONCATENATE(LEFT(BASE!E29,6),VLOOKUP('Perpetual Pricing (2)'!$D$1,XE!$A:$C,3,FALSE),MID(BASE!E29,9,1),IF('Perpetual Pricing (2)'!$D$2="Standard","S","G"),RIGHT(BASE!E29,7))</f>
        <v>XSXW00EUPG0100ZZC</v>
      </c>
      <c r="B14" s="85" t="str">
        <f>TEXT(ROUND(VLOOKUP('Perpetual Pricing (2)'!$D$2,XE!$M$5:$N$6,2,FALSE)*BASE!D29*VLOOKUP('Perpetual Pricing (2)'!$D$1,XE!$A:$F,6,FALSE)* (HLOOKUP($D$3,PARTNERPROGRAM!$D$7:$H$8,2,FALSE)),VLOOKUP('Perpetual Pricing (2)'!$D$1,XE!$A:$H,8,FALSE)),VLOOKUP('Perpetual Pricing (2)'!$D$1,XE!$A:$G,7,FALSE))</f>
        <v>499,300</v>
      </c>
      <c r="C14" t="str">
        <f t="shared" si="0"/>
        <v>CHF</v>
      </c>
    </row>
    <row r="15" spans="1:15" ht="12.75" customHeight="1">
      <c r="A15" s="42" t="str">
        <f>CONCATENATE(LEFT(BASE!E38,6),VLOOKUP('Perpetual Pricing (2)'!$D$1,XE!$A:$C,3,FALSE),RIGHT(BASE!E38,9))</f>
        <v>XSPX00EUPC0100ZZZ</v>
      </c>
      <c r="B15" s="85" t="str">
        <f>TEXT(ROUND(BASE!D15*VLOOKUP('Perpetual Pricing (2)'!$D$1,XE!$A:$F,6,FALSE)*VLOOKUP('Perpetual Pricing (2)'!$D$1,XE!$A:$L,12,FALSE)*(HLOOKUP($D$3,PARTNERPROGRAM!$D$7:$H$9,3,FALSE)),VLOOKUP('Perpetual Pricing (2)'!$D$1,XE!$A:$H,8,FALSE)),VLOOKUP('Perpetual Pricing (2)'!D$1,XE!$A:$G,7,FALSE))</f>
        <v>694,600</v>
      </c>
      <c r="C15" t="str">
        <f t="shared" si="0"/>
        <v>CHF</v>
      </c>
    </row>
    <row r="16" spans="1:15">
      <c r="A16" s="42" t="str">
        <f>CONCATENATE(LEFT(BASE!E39,6),VLOOKUP('Perpetual Pricing (2)'!$D$1,XE!$A:$C,3,FALSE),RIGHT(BASE!E39,9))</f>
        <v>XSPX00EUPC0100ZZA</v>
      </c>
      <c r="B16" s="85" t="str">
        <f>TEXT(ROUND(BASE!D16*VLOOKUP('Perpetual Pricing (2)'!$D$1,XE!$A:$F,6,FALSE)*VLOOKUP('Perpetual Pricing (2)'!$D$1,XE!$A:$L,12,FALSE)*(HLOOKUP($D$3,PARTNERPROGRAM!$D$7:$H$9,3,FALSE)),VLOOKUP('Perpetual Pricing (2)'!$D$1,XE!$A:$H,8,FALSE)),VLOOKUP('Perpetual Pricing (2)'!D$1,XE!$A:$G,7,FALSE))</f>
        <v>632,100</v>
      </c>
      <c r="C16" t="str">
        <f t="shared" si="0"/>
        <v>CHF</v>
      </c>
    </row>
    <row r="17" spans="1:3">
      <c r="A17" s="42" t="str">
        <f>CONCATENATE(LEFT(BASE!E40,6),VLOOKUP('Perpetual Pricing (2)'!$D$1,XE!$A:$C,3,FALSE),RIGHT(BASE!E40,9))</f>
        <v>XSPX00EUPC0100ZZB</v>
      </c>
      <c r="B17" s="85" t="str">
        <f>TEXT(ROUND(BASE!D17*VLOOKUP('Perpetual Pricing (2)'!$D$1,XE!$A:$F,6,FALSE)*VLOOKUP('Perpetual Pricing (2)'!$D$1,XE!$A:$L,12,FALSE)*(HLOOKUP($D$3,PARTNERPROGRAM!$D$7:$H$9,3,FALSE)),VLOOKUP('Perpetual Pricing (2)'!$D$1,XE!$A:$H,8,FALSE)),VLOOKUP('Perpetual Pricing (2)'!D$1,XE!$A:$G,7,FALSE))</f>
        <v>532,800</v>
      </c>
      <c r="C17" t="str">
        <f t="shared" si="0"/>
        <v>CHF</v>
      </c>
    </row>
    <row r="18" spans="1:3">
      <c r="A18" s="42" t="str">
        <f>CONCATENATE(LEFT(BASE!E41,6),VLOOKUP('Perpetual Pricing (2)'!$D$1,XE!$A:$C,3,FALSE),RIGHT(BASE!E41,9))</f>
        <v>XSPX00EUPC0100ZZC</v>
      </c>
      <c r="B18" s="85" t="str">
        <f>TEXT(ROUND(BASE!D18*VLOOKUP('Perpetual Pricing (2)'!$D$1,XE!$A:$F,6,FALSE)*VLOOKUP('Perpetual Pricing (2)'!$D$1,XE!$A:$L,12,FALSE)*(HLOOKUP($D$3,PARTNERPROGRAM!$D$7:$H$9,3,FALSE)),VLOOKUP('Perpetual Pricing (2)'!$D$1,XE!$A:$H,8,FALSE)),VLOOKUP('Perpetual Pricing (2)'!D$1,XE!$A:$G,7,FALSE))</f>
        <v>432,800</v>
      </c>
      <c r="C18" t="str">
        <f t="shared" si="0"/>
        <v>CHF</v>
      </c>
    </row>
    <row r="19" spans="1:3" ht="12.75" customHeight="1">
      <c r="A19" s="42" t="str">
        <f>CONCATENATE(LEFT(BASE!E52,6),VLOOKUP('Perpetual Pricing (2)'!$D$1,XE!$A:$C,3,FALSE),RIGHT(BASE!E52,9))</f>
        <v>XSXW00EUPC0100ZZZ</v>
      </c>
      <c r="B19" s="85" t="str">
        <f>B15</f>
        <v>694,600</v>
      </c>
      <c r="C19" t="str">
        <f t="shared" si="0"/>
        <v>CHF</v>
      </c>
    </row>
    <row r="20" spans="1:3">
      <c r="A20" s="42" t="str">
        <f>CONCATENATE(LEFT(BASE!E53,6),VLOOKUP('Perpetual Pricing (2)'!$D$1,XE!$A:$C,3,FALSE),RIGHT(BASE!E53,9))</f>
        <v>XSXW00EUPC0100ZZA</v>
      </c>
      <c r="B20" s="85" t="str">
        <f>B16</f>
        <v>632,100</v>
      </c>
      <c r="C20" t="str">
        <f t="shared" si="0"/>
        <v>CHF</v>
      </c>
    </row>
    <row r="21" spans="1:3">
      <c r="A21" s="42" t="str">
        <f>CONCATENATE(LEFT(BASE!E54,6),VLOOKUP('Perpetual Pricing (2)'!$D$1,XE!$A:$C,3,FALSE),RIGHT(BASE!E54,9))</f>
        <v>XSXW00EUPC0100ZZB</v>
      </c>
      <c r="B21" s="85" t="str">
        <f>B17</f>
        <v>532,800</v>
      </c>
      <c r="C21" t="str">
        <f t="shared" si="0"/>
        <v>CHF</v>
      </c>
    </row>
    <row r="22" spans="1:3">
      <c r="A22" s="42" t="str">
        <f>CONCATENATE(LEFT(BASE!E55,6),VLOOKUP('Perpetual Pricing (2)'!$D$1,XE!$A:$C,3,FALSE),RIGHT(BASE!E55,9))</f>
        <v>XSXW00EUPC0100ZZC</v>
      </c>
      <c r="B22" s="85" t="str">
        <f>B18</f>
        <v>432,800</v>
      </c>
      <c r="C22" t="str">
        <f t="shared" si="0"/>
        <v>CHF</v>
      </c>
    </row>
    <row r="23" spans="1:3">
      <c r="A23" s="42" t="str">
        <f>CONCATENATE(LEFT(BASE!E65,6),VLOOKUP('Perpetual Pricing (2)'!$D$1,XE!$A:$C,3,FALSE),MID(BASE!E65,9,1),IF('Perpetual Pricing (2)'!$D$2="Standard","S","G"),RIGHT(BASE!E65,7))</f>
        <v>QBUS00EUPG0100ZZZ</v>
      </c>
      <c r="B23" s="85" t="str">
        <f>TEXT(ROUND(VLOOKUP('Perpetual Pricing (2)'!$D$2,XE!$M$5:$N$6,2,FALSE)*BASE!D65*VLOOKUP('Perpetual Pricing (2)'!$D$1,XE!$A:$F,6,FALSE)* (HLOOKUP($D$3,PARTNERPROGRAM!$D$7:$H$8,2,FALSE)),VLOOKUP('Perpetual Pricing (2)'!$D$1,XE!$A:$H,8,FALSE)),VLOOKUP('Perpetual Pricing (2)'!$D$1,XE!$A:$G,7,FALSE))</f>
        <v>401,800</v>
      </c>
      <c r="C23" t="str">
        <f t="shared" si="0"/>
        <v>CHF</v>
      </c>
    </row>
    <row r="24" spans="1:3" ht="12.75" customHeight="1">
      <c r="A24" s="42" t="str">
        <f>CONCATENATE(LEFT(BASE!E74,6),VLOOKUP('Perpetual Pricing (2)'!$D$1,XE!$A:$C,3,FALSE),RIGHT(BASE!E74,9))</f>
        <v>QBUS00EUPC0100ZZZ</v>
      </c>
      <c r="B24" s="85" t="str">
        <f>TEXT(ROUND(BASE!D65*VLOOKUP('Perpetual Pricing (2)'!$D$1,XE!$A:$F,6,FALSE)*VLOOKUP('Perpetual Pricing (2)'!$D$1,XE!$A:$L,12,FALSE)*(HLOOKUP($D$3,PARTNERPROGRAM!$D$7:$H$9,3,FALSE)),VLOOKUP('Perpetual Pricing (2)'!$D$1,XE!$A:$H,8,FALSE)),VLOOKUP('Perpetual Pricing (2)'!D$1,XE!$A:$G,7,FALSE))</f>
        <v>348,300</v>
      </c>
      <c r="C24" t="str">
        <f t="shared" si="0"/>
        <v>CHF</v>
      </c>
    </row>
    <row r="25" spans="1:3">
      <c r="A25" s="42" t="str">
        <f>CONCATENATE(LEFT(BASE!E83,6),VLOOKUP('Perpetual Pricing (2)'!$D$1,XE!$A:$C,3,FALSE),MID(BASE!E83,9,1),IF('Perpetual Pricing (2)'!$D$2="Standard","S","G"),RIGHT(BASE!E83,7))</f>
        <v>KXDW00EUPG0100ZZZ</v>
      </c>
      <c r="B25" s="222" t="str">
        <f>TEXT(ROUND(VLOOKUP('Perpetual Pricing (2)'!$D$2,XE!$M$5:$N$6,2,FALSE)*BASE!D83*VLOOKUP('Perpetual Pricing (2)'!$D$1,XE!$A:$F,6,FALSE)* (HLOOKUP($D$3,PARTNERPROGRAM!$D$7:$H$8,2,FALSE)),VLOOKUP('Perpetual Pricing (2)'!$D$1,XE!$A:$H,8,FALSE)),VLOOKUP('Perpetual Pricing (2)'!$D$1,XE!$A:$G,7,FALSE))</f>
        <v>73,200</v>
      </c>
      <c r="C25" t="str">
        <f t="shared" si="0"/>
        <v>CHF</v>
      </c>
    </row>
    <row r="26" spans="1:3">
      <c r="A26" s="42" t="str">
        <f>CONCATENATE(LEFT(BASE!E84,6),VLOOKUP('Perpetual Pricing (2)'!$D$1,XE!$A:$C,3,FALSE),MID(BASE!E84,9,1),IF('Perpetual Pricing (2)'!$D$2="Standard","S","G"),RIGHT(BASE!E84,7))</f>
        <v>KXDW00EUPG0100ZZA</v>
      </c>
      <c r="B26" s="222" t="str">
        <f>TEXT(ROUND(VLOOKUP('Perpetual Pricing (2)'!$D$2,XE!$M$5:$N$6,2,FALSE)*BASE!D84*VLOOKUP('Perpetual Pricing (2)'!$D$1,XE!$A:$F,6,FALSE)* (HLOOKUP($D$3,PARTNERPROGRAM!$D$7:$H$8,2,FALSE)),VLOOKUP('Perpetual Pricing (2)'!$D$1,XE!$A:$H,8,FALSE)),VLOOKUP('Perpetual Pricing (2)'!$D$1,XE!$A:$G,7,FALSE))</f>
        <v>66,600</v>
      </c>
      <c r="C26" t="str">
        <f t="shared" si="0"/>
        <v>CHF</v>
      </c>
    </row>
    <row r="27" spans="1:3">
      <c r="A27" s="42" t="str">
        <f>CONCATENATE(LEFT(BASE!E85,6),VLOOKUP('Perpetual Pricing (2)'!$D$1,XE!$A:$C,3,FALSE),MID(BASE!E85,9,1),IF('Perpetual Pricing (2)'!$D$2="Standard","S","G"),RIGHT(BASE!E85,7))</f>
        <v>KXDW00EUPG0100ZZB</v>
      </c>
      <c r="B27" s="222" t="str">
        <f>TEXT(ROUND(VLOOKUP('Perpetual Pricing (2)'!$D$2,XE!$M$5:$N$6,2,FALSE)*BASE!D85*VLOOKUP('Perpetual Pricing (2)'!$D$1,XE!$A:$F,6,FALSE)* (HLOOKUP($D$3,PARTNERPROGRAM!$D$7:$H$8,2,FALSE)),VLOOKUP('Perpetual Pricing (2)'!$D$1,XE!$A:$H,8,FALSE)),VLOOKUP('Perpetual Pricing (2)'!$D$1,XE!$A:$G,7,FALSE))</f>
        <v>56,100</v>
      </c>
      <c r="C27" t="str">
        <f t="shared" si="0"/>
        <v>CHF</v>
      </c>
    </row>
    <row r="28" spans="1:3">
      <c r="A28" s="42" t="str">
        <f>CONCATENATE(LEFT(BASE!E86,6),VLOOKUP('Perpetual Pricing (2)'!$D$1,XE!$A:$C,3,FALSE),MID(BASE!E86,9,1),IF('Perpetual Pricing (2)'!$D$2="Standard","S","G"),RIGHT(BASE!E86,7))</f>
        <v>KXDW00EUPG0100ZZC</v>
      </c>
      <c r="B28" s="222" t="str">
        <f>TEXT(ROUND(VLOOKUP('Perpetual Pricing (2)'!$D$2,XE!$M$5:$N$6,2,FALSE)*BASE!D86*VLOOKUP('Perpetual Pricing (2)'!$D$1,XE!$A:$F,6,FALSE)* (HLOOKUP($D$3,PARTNERPROGRAM!$D$7:$H$8,2,FALSE)),VLOOKUP('Perpetual Pricing (2)'!$D$1,XE!$A:$H,8,FALSE)),VLOOKUP('Perpetual Pricing (2)'!$D$1,XE!$A:$G,7,FALSE))</f>
        <v>45,600</v>
      </c>
      <c r="C28" t="str">
        <f t="shared" si="0"/>
        <v>CHF</v>
      </c>
    </row>
    <row r="29" spans="1:3">
      <c r="A29" s="42" t="str">
        <f>CONCATENATE(LEFT(BASE!E87,6),VLOOKUP('Perpetual Pricing (2)'!$D$1,XE!$A:$C,3,FALSE),MID(BASE!E87,9,1),IF('Perpetual Pricing (2)'!$D$2="Standard","S","G"),RIGHT(BASE!E87,7))</f>
        <v>KXDW00EUPG0300ZZZ</v>
      </c>
      <c r="B29" s="222" t="str">
        <f>TEXT(ROUND(VLOOKUP('Perpetual Pricing (2)'!$D$2,XE!$M$5:$N$6,2,FALSE)*BASE!D87*VLOOKUP('Perpetual Pricing (2)'!$D$1,XE!$A:$F,6,FALSE)* (HLOOKUP($D$3,PARTNERPROGRAM!$D$7:$H$8,2,FALSE)),VLOOKUP('Perpetual Pricing (2)'!$D$1,XE!$A:$H,8,FALSE)),VLOOKUP('Perpetual Pricing (2)'!$D$1,XE!$A:$G,7,FALSE))</f>
        <v>171,200</v>
      </c>
      <c r="C29" t="str">
        <f t="shared" si="0"/>
        <v>CHF</v>
      </c>
    </row>
    <row r="30" spans="1:3" ht="12.75" customHeight="1">
      <c r="A30" s="42" t="str">
        <f>CONCATENATE(LEFT(BASE!E96,6),VLOOKUP('Perpetual Pricing (2)'!$D$1,XE!$A:$C,3,FALSE),RIGHT(BASE!E96,9))</f>
        <v>KXDW00EUPC0100ZZZ</v>
      </c>
      <c r="B30" s="85" t="str">
        <f>TEXT(ROUND(BASE!D83*VLOOKUP('Perpetual Pricing (2)'!$D$1,XE!$A:$F,6,FALSE)*VLOOKUP('Perpetual Pricing (2)'!$D$1,XE!$A:$L,12,FALSE)*(HLOOKUP($D$3,PARTNERPROGRAM!$D$7:$H$9,3,FALSE)),VLOOKUP('Perpetual Pricing (2)'!$D$1,XE!$A:$H,8,FALSE)),VLOOKUP('Perpetual Pricing (2)'!D$1,XE!$A:$G,7,FALSE))</f>
        <v>63,400</v>
      </c>
      <c r="C30" t="str">
        <f t="shared" si="0"/>
        <v>CHF</v>
      </c>
    </row>
    <row r="31" spans="1:3">
      <c r="A31" s="42" t="str">
        <f>CONCATENATE(LEFT(BASE!E97,6),VLOOKUP('Perpetual Pricing (2)'!$D$1,XE!$A:$C,3,FALSE),RIGHT(BASE!E97,9))</f>
        <v>KXDW00EUPC0100ZZA</v>
      </c>
      <c r="B31" s="85" t="str">
        <f>TEXT(ROUND(BASE!D84*VLOOKUP('Perpetual Pricing (2)'!$D$1,XE!$A:$F,6,FALSE)*VLOOKUP('Perpetual Pricing (2)'!$D$1,XE!$A:$L,12,FALSE)*(HLOOKUP($D$3,PARTNERPROGRAM!$D$7:$H$9,3,FALSE)),VLOOKUP('Perpetual Pricing (2)'!$D$1,XE!$A:$H,8,FALSE)),VLOOKUP('Perpetual Pricing (2)'!D$1,XE!$A:$G,7,FALSE))</f>
        <v>57,700</v>
      </c>
      <c r="C31" t="str">
        <f t="shared" si="0"/>
        <v>CHF</v>
      </c>
    </row>
    <row r="32" spans="1:3">
      <c r="A32" s="42" t="str">
        <f>CONCATENATE(LEFT(BASE!E98,6),VLOOKUP('Perpetual Pricing (2)'!$D$1,XE!$A:$C,3,FALSE),RIGHT(BASE!E98,9))</f>
        <v>KXDW00EUPC0100ZZB</v>
      </c>
      <c r="B32" s="85" t="str">
        <f>TEXT(ROUND(BASE!D85*VLOOKUP('Perpetual Pricing (2)'!$D$1,XE!$A:$F,6,FALSE)*VLOOKUP('Perpetual Pricing (2)'!$D$1,XE!$A:$L,12,FALSE)*(HLOOKUP($D$3,PARTNERPROGRAM!$D$7:$H$9,3,FALSE)),VLOOKUP('Perpetual Pricing (2)'!$D$1,XE!$A:$H,8,FALSE)),VLOOKUP('Perpetual Pricing (2)'!D$1,XE!$A:$G,7,FALSE))</f>
        <v>48,600</v>
      </c>
      <c r="C32" t="str">
        <f t="shared" si="0"/>
        <v>CHF</v>
      </c>
    </row>
    <row r="33" spans="1:3">
      <c r="A33" s="42" t="str">
        <f>CONCATENATE(LEFT(BASE!E99,6),VLOOKUP('Perpetual Pricing (2)'!$D$1,XE!$A:$C,3,FALSE),RIGHT(BASE!E99,9))</f>
        <v>KXDW00EUPC0100ZZC</v>
      </c>
      <c r="B33" s="85" t="str">
        <f>TEXT(ROUND(BASE!D86*VLOOKUP('Perpetual Pricing (2)'!$D$1,XE!$A:$F,6,FALSE)*VLOOKUP('Perpetual Pricing (2)'!$D$1,XE!$A:$L,12,FALSE)*(HLOOKUP($D$3,PARTNERPROGRAM!$D$7:$H$9,3,FALSE)),VLOOKUP('Perpetual Pricing (2)'!$D$1,XE!$A:$H,8,FALSE)),VLOOKUP('Perpetual Pricing (2)'!D$1,XE!$A:$G,7,FALSE))</f>
        <v>39,500</v>
      </c>
      <c r="C33" t="str">
        <f t="shared" si="0"/>
        <v>CHF</v>
      </c>
    </row>
    <row r="34" spans="1:3" ht="12.75" customHeight="1">
      <c r="A34" s="42" t="str">
        <f>CONCATENATE(LEFT(BASE!E109,6),VLOOKUP('Perpetual Pricing (2)'!$D$1,XE!$A:$C,3,FALSE),MID(BASE!E109,9,1),IF('Perpetual Pricing (2)'!$D$2="Standard","S","G"),RIGHT(BASE!E109,7))</f>
        <v>XESS00EUPG0100ZZZ</v>
      </c>
      <c r="B34" s="85" t="str">
        <f>TEXT(ROUND(VLOOKUP('Perpetual Pricing (2)'!$D$2,XE!$M$5:$N$6,2,FALSE)*BASE!D109*VLOOKUP('Perpetual Pricing (2)'!$D$1,XE!$A:$F,6,FALSE)* (HLOOKUP($D$3,PARTNERPROGRAM!$D$7:$H$8,2,FALSE)),VLOOKUP('Perpetual Pricing (2)'!$D$1,XE!$A:$H,8,FALSE)),VLOOKUP('Perpetual Pricing (2)'!$D$1,XE!$A:$G,7,FALSE))</f>
        <v>1167,500</v>
      </c>
      <c r="C34" t="str">
        <f t="shared" si="0"/>
        <v>CHF</v>
      </c>
    </row>
    <row r="35" spans="1:3" ht="12.75" customHeight="1">
      <c r="A35" s="42" t="str">
        <f>CONCATENATE(LEFT(BASE!E110,6),VLOOKUP('Perpetual Pricing (2)'!$D$1,XE!$A:$C,3,FALSE),MID(BASE!E110,9,1),IF('Perpetual Pricing (2)'!$D$2="Standard","S","G"),RIGHT(BASE!E110,7))</f>
        <v>XSTD00EUPG0100ZZZ</v>
      </c>
      <c r="B35" s="85" t="str">
        <f>TEXT(ROUND(VLOOKUP('Perpetual Pricing (2)'!$D$2,XE!$M$5:$N$6,2,FALSE)*BASE!D110*VLOOKUP('Perpetual Pricing (2)'!$D$1,XE!$A:$F,6,FALSE)* (HLOOKUP($D$3,PARTNERPROGRAM!$D$7:$H$8,2,FALSE)),VLOOKUP('Perpetual Pricing (2)'!$D$1,XE!$A:$H,8,FALSE)),VLOOKUP('Perpetual Pricing (2)'!$D$1,XE!$A:$G,7,FALSE))</f>
        <v>1240,700</v>
      </c>
      <c r="C35" t="str">
        <f t="shared" si="0"/>
        <v>CHF</v>
      </c>
    </row>
    <row r="36" spans="1:3">
      <c r="A36" s="42" t="str">
        <f>CONCATENATE(LEFT(BASE!E111,6),VLOOKUP('Perpetual Pricing (2)'!$D$1,XE!$A:$C,3,FALSE),MID(BASE!E111,9,1),IF('Perpetual Pricing (2)'!$D$2="Standard","S","G"),RIGHT(BASE!E111,7))</f>
        <v>XEUM00EUUG0100ZPZ</v>
      </c>
      <c r="B36" s="85" t="str">
        <f>TEXT(ROUND(VLOOKUP('Perpetual Pricing (2)'!$D$2,XE!$M$5:$N$6,2,FALSE)*BASE!D111*VLOOKUP('Perpetual Pricing (2)'!$D$1,XE!$A:$F,6,FALSE)* (HLOOKUP($D$3,PARTNERPROGRAM!$D$7:$H$8,2,FALSE)),VLOOKUP('Perpetual Pricing (2)'!$D$1,XE!$A:$H,8,FALSE)),VLOOKUP('Perpetual Pricing (2)'!$D$1,XE!$A:$G,7,FALSE))</f>
        <v>3941,600</v>
      </c>
      <c r="C36" t="str">
        <f t="shared" si="0"/>
        <v>CHF</v>
      </c>
    </row>
    <row r="37" spans="1:3" ht="12.75" customHeight="1">
      <c r="A37" s="42" t="str">
        <f>CONCATENATE(LEFT(BASE!E122,6),VLOOKUP('Perpetual Pricing (2)'!$D$1,XE!$A:$C,3,FALSE),RIGHT(BASE!E122,9))</f>
        <v>XESS00EUPC0100ZZZ</v>
      </c>
      <c r="B37" s="85" t="str">
        <f>TEXT(ROUND(BASE!D109*VLOOKUP('Perpetual Pricing (2)'!$D$1,XE!$A:$F,6,FALSE)*VLOOKUP('Perpetual Pricing (2)'!$D$1,XE!$A:$L,12,FALSE)*(HLOOKUP($D$3,PARTNERPROGRAM!$D$7:$H$9,3,FALSE)),VLOOKUP('Perpetual Pricing (2)'!$D$1,XE!$A:$H,8,FALSE)),VLOOKUP('Perpetual Pricing (2)'!D$1,XE!$A:$G,7,FALSE))</f>
        <v>1011,800</v>
      </c>
      <c r="C37" t="str">
        <f t="shared" si="0"/>
        <v>CHF</v>
      </c>
    </row>
    <row r="38" spans="1:3" ht="12.75" customHeight="1">
      <c r="A38" s="42" t="str">
        <f>CONCATENATE(LEFT(BASE!E123,6),VLOOKUP('Perpetual Pricing (2)'!$D$1,XE!$A:$C,3,FALSE),RIGHT(BASE!E123,9))</f>
        <v>XSTD00EUPC0100ZZZ</v>
      </c>
      <c r="B38" s="85" t="str">
        <f>TEXT(ROUND(BASE!D110*VLOOKUP('Perpetual Pricing (2)'!$D$1,XE!$A:$F,6,FALSE)*VLOOKUP('Perpetual Pricing (2)'!$D$1,XE!$A:$L,12,FALSE)*(HLOOKUP($D$3,PARTNERPROGRAM!$D$7:$H$9,3,FALSE)),VLOOKUP('Perpetual Pricing (2)'!$D$1,XE!$A:$H,8,FALSE)),VLOOKUP('Perpetual Pricing (2)'!D$1,XE!$A:$G,7,FALSE))</f>
        <v>1075,300</v>
      </c>
      <c r="C38" t="str">
        <f t="shared" si="0"/>
        <v>CHF</v>
      </c>
    </row>
    <row r="39" spans="1:3" ht="12.75" customHeight="1">
      <c r="A39" s="42" t="str">
        <f>CONCATENATE(LEFT(BASE!E132,6),VLOOKUP('Perpetual Pricing (2)'!$D$1,XE!$A:$C,3,FALSE),MID(BASE!E132,9,1),IF('Perpetual Pricing (2)'!$D$2="Standard","S","G"),RIGHT(BASE!E132,7))</f>
        <v>XSVS00EUPG0100ZZZ</v>
      </c>
      <c r="B39" s="85" t="str">
        <f>TEXT(ROUND(VLOOKUP('Perpetual Pricing (2)'!$D$2,XE!$M$5:$N$6,2,FALSE)*BASE!D132*VLOOKUP('Perpetual Pricing (2)'!$D$1,XE!$A:$F,6,FALSE)* (HLOOKUP($D$3,PARTNERPROGRAM!$D$7:$H$8,2,FALSE)),VLOOKUP('Perpetual Pricing (2)'!$D$1,XE!$A:$H,8,FALSE)),VLOOKUP('Perpetual Pricing (2)'!$D$1,XE!$A:$G,7,FALSE))</f>
        <v>289,100</v>
      </c>
      <c r="C39" t="str">
        <f t="shared" si="0"/>
        <v>CHF</v>
      </c>
    </row>
    <row r="40" spans="1:3" ht="12.75" customHeight="1">
      <c r="A40" s="42" t="str">
        <f>CONCATENATE(LEFT(BASE!E133,6),VLOOKUP('Perpetual Pricing (2)'!$D$1,XE!$A:$C,3,FALSE),MID(BASE!E133,9,1),IF('Perpetual Pricing (2)'!$D$2="Standard","S","G"),RIGHT(BASE!E133,7))</f>
        <v>XSVS00EUPG0300ZZZ</v>
      </c>
      <c r="B40" s="85" t="str">
        <f>TEXT(ROUND(VLOOKUP('Perpetual Pricing (2)'!$D$2,XE!$M$5:$N$6,2,FALSE)*BASE!D133*VLOOKUP('Perpetual Pricing (2)'!$D$1,XE!$A:$F,6,FALSE)* (HLOOKUP($D$3,PARTNERPROGRAM!$D$7:$H$8,2,FALSE)),VLOOKUP('Perpetual Pricing (2)'!$D$1,XE!$A:$H,8,FALSE)),VLOOKUP('Perpetual Pricing (2)'!$D$1,XE!$A:$G,7,FALSE))</f>
        <v>728,300</v>
      </c>
      <c r="C40" t="str">
        <f t="shared" si="0"/>
        <v>CHF</v>
      </c>
    </row>
    <row r="41" spans="1:3" ht="12.75" customHeight="1">
      <c r="A41" s="42" t="str">
        <f>CONCATENATE(LEFT(BASE!E134,6),VLOOKUP('Perpetual Pricing (2)'!$D$1,XE!$A:$C,3,FALSE),MID(BASE!E134,9,1),IF('Perpetual Pricing (2)'!$D$2="Standard","S","G"),RIGHT(BASE!E134,7))</f>
        <v>XSVS00EUPG1000ZZZ</v>
      </c>
      <c r="B41" s="85" t="str">
        <f>TEXT(ROUND(VLOOKUP('Perpetual Pricing (2)'!$D$2,XE!$M$5:$N$6,2,FALSE)*BASE!D134*VLOOKUP('Perpetual Pricing (2)'!$D$1,XE!$A:$F,6,FALSE)* (HLOOKUP($D$3,PARTNERPROGRAM!$D$7:$H$8,2,FALSE)),VLOOKUP('Perpetual Pricing (2)'!$D$1,XE!$A:$H,8,FALSE)),VLOOKUP('Perpetual Pricing (2)'!$D$1,XE!$A:$G,7,FALSE))</f>
        <v>1753,100</v>
      </c>
      <c r="C41" t="str">
        <f t="shared" si="0"/>
        <v>CHF</v>
      </c>
    </row>
    <row r="42" spans="1:3" ht="12.75" customHeight="1">
      <c r="A42" s="42" t="str">
        <f>CONCATENATE(LEFT(BASE!E147,6),VLOOKUP('Perpetual Pricing (2)'!$D$1,XE!$A:$C,3,FALSE),MID(BASE!E147,9,1),IF('Perpetual Pricing (2)'!$D$2="Standard","S","G"),RIGHT(BASE!E147,7))</f>
        <v>XSVW00EUPG0100ZZZ</v>
      </c>
      <c r="B42" s="85" t="str">
        <f>TEXT(ROUND(VLOOKUP('Perpetual Pricing (2)'!$D$2,XE!$M$5:$N$6,2,FALSE)*BASE!D147*VLOOKUP('Perpetual Pricing (2)'!$D$1,XE!$A:$F,6,FALSE)* (HLOOKUP($D$3,PARTNERPROGRAM!$D$7:$H$8,2,FALSE)),VLOOKUP('Perpetual Pricing (2)'!$D$1,XE!$A:$H,8,FALSE)),VLOOKUP('Perpetual Pricing (2)'!$D$1,XE!$A:$G,7,FALSE))</f>
        <v>289,100</v>
      </c>
      <c r="C42" t="str">
        <f t="shared" si="0"/>
        <v>CHF</v>
      </c>
    </row>
    <row r="43" spans="1:3" ht="12.75" customHeight="1">
      <c r="A43" s="42" t="str">
        <f>CONCATENATE(LEFT(BASE!E148,6),VLOOKUP('Perpetual Pricing (2)'!$D$1,XE!$A:$C,3,FALSE),MID(BASE!E148,9,1),IF('Perpetual Pricing (2)'!$D$2="Standard","S","G"),RIGHT(BASE!E148,7))</f>
        <v>XSVW00EUPG0300ZZZ</v>
      </c>
      <c r="B43" s="85" t="str">
        <f>TEXT(ROUND(VLOOKUP('Perpetual Pricing (2)'!$D$2,XE!$M$5:$N$6,2,FALSE)*BASE!D148*VLOOKUP('Perpetual Pricing (2)'!$D$1,XE!$A:$F,6,FALSE)* (HLOOKUP($D$3,PARTNERPROGRAM!$D$7:$H$8,2,FALSE)),VLOOKUP('Perpetual Pricing (2)'!$D$1,XE!$A:$H,8,FALSE)),VLOOKUP('Perpetual Pricing (2)'!$D$1,XE!$A:$G,7,FALSE))</f>
        <v>728,300</v>
      </c>
      <c r="C43" t="str">
        <f t="shared" si="0"/>
        <v>CHF</v>
      </c>
    </row>
    <row r="44" spans="1:3" ht="12.75" customHeight="1">
      <c r="A44" s="42" t="str">
        <f>CONCATENATE(LEFT(BASE!E149,6),VLOOKUP('Perpetual Pricing (2)'!$D$1,XE!$A:$C,3,FALSE),MID(BASE!E149,9,1),IF('Perpetual Pricing (2)'!$D$2="Standard","S","G"),RIGHT(BASE!E149,7))</f>
        <v>XSVW00EUPG1000ZZZ</v>
      </c>
      <c r="B44" s="85" t="str">
        <f>TEXT(ROUND(VLOOKUP('Perpetual Pricing (2)'!$D$2,XE!$M$5:$N$6,2,FALSE)*BASE!D149*VLOOKUP('Perpetual Pricing (2)'!$D$1,XE!$A:$F,6,FALSE)* (HLOOKUP($D$3,PARTNERPROGRAM!$D$7:$H$8,2,FALSE)),VLOOKUP('Perpetual Pricing (2)'!$D$1,XE!$A:$H,8,FALSE)),VLOOKUP('Perpetual Pricing (2)'!$D$1,XE!$A:$G,7,FALSE))</f>
        <v>1753,100</v>
      </c>
      <c r="C44" t="str">
        <f t="shared" si="0"/>
        <v>CHF</v>
      </c>
    </row>
    <row r="45" spans="1:3" ht="12.75" customHeight="1">
      <c r="A45" s="42" t="str">
        <f>CONCATENATE(LEFT(BASE!E163,6),VLOOKUP('Perpetual Pricing (2)'!$D$1,XE!$A:$C,3,FALSE),RIGHT(BASE!E163,9))</f>
        <v>XSVS00EUPC0100ZZZ</v>
      </c>
      <c r="B45" s="85" t="str">
        <f>TEXT(ROUND(BASE!D147*VLOOKUP('Perpetual Pricing (2)'!$D$1,XE!$A:$F,6,FALSE)*VLOOKUP('Perpetual Pricing (2)'!$D$1,XE!$A:$L,12,FALSE)*(HLOOKUP($D$3,PARTNERPROGRAM!$D$7:$H$9,3,FALSE)),VLOOKUP('Perpetual Pricing (2)'!$D$1,XE!$A:$H,8,FALSE)),VLOOKUP('Perpetual Pricing (2)'!D$1,XE!$A:$G,7,FALSE))</f>
        <v>250,600</v>
      </c>
      <c r="C45" t="str">
        <f t="shared" si="0"/>
        <v>CHF</v>
      </c>
    </row>
    <row r="46" spans="1:3" ht="12.75" customHeight="1">
      <c r="A46" s="42" t="str">
        <f>CONCATENATE(LEFT(BASE!E164,6),VLOOKUP('Perpetual Pricing (2)'!$D$1,XE!$A:$C,3,FALSE),RIGHT(BASE!E164,9))</f>
        <v>XSVS00EUPC0300ZZZ</v>
      </c>
      <c r="B46" s="85" t="str">
        <f>TEXT(ROUND(BASE!D148*VLOOKUP('Perpetual Pricing (2)'!$D$1,XE!$A:$F,6,FALSE)*VLOOKUP('Perpetual Pricing (2)'!$D$1,XE!$A:$L,12,FALSE)*(HLOOKUP($D$3,PARTNERPROGRAM!$D$7:$H$9,3,FALSE)),VLOOKUP('Perpetual Pricing (2)'!$D$1,XE!$A:$H,8,FALSE)),VLOOKUP('Perpetual Pricing (2)'!D$1,XE!$A:$G,7,FALSE))</f>
        <v>631,200</v>
      </c>
      <c r="C46" t="str">
        <f t="shared" si="0"/>
        <v>CHF</v>
      </c>
    </row>
    <row r="47" spans="1:3" ht="12.75" customHeight="1">
      <c r="A47" s="42" t="str">
        <f>CONCATENATE(LEFT(BASE!E165,6),VLOOKUP('Perpetual Pricing (2)'!$D$1,XE!$A:$C,3,FALSE),RIGHT(BASE!E165,9))</f>
        <v>XSVS00EUPC1000ZZZ</v>
      </c>
      <c r="B47" s="85" t="str">
        <f>TEXT(ROUND(BASE!D149*VLOOKUP('Perpetual Pricing (2)'!$D$1,XE!$A:$F,6,FALSE)*VLOOKUP('Perpetual Pricing (2)'!$D$1,XE!$A:$L,12,FALSE)*(HLOOKUP($D$3,PARTNERPROGRAM!$D$7:$H$9,3,FALSE)),VLOOKUP('Perpetual Pricing (2)'!$D$1,XE!$A:$H,8,FALSE)),VLOOKUP('Perpetual Pricing (2)'!D$1,XE!$A:$G,7,FALSE))</f>
        <v>1519,300</v>
      </c>
      <c r="C47" t="str">
        <f t="shared" si="0"/>
        <v>CHF</v>
      </c>
    </row>
    <row r="48" spans="1:3" ht="12.75" customHeight="1">
      <c r="A48" s="42" t="str">
        <f>CONCATENATE(LEFT(BASE!E177,6),VLOOKUP('Perpetual Pricing (2)'!$D$1,XE!$A:$C,3,FALSE),RIGHT(BASE!E177,9))</f>
        <v>XSVW00EUPC0100ZZZ</v>
      </c>
      <c r="B48" s="85" t="str">
        <f>B45</f>
        <v>250,600</v>
      </c>
      <c r="C48" t="str">
        <f t="shared" si="0"/>
        <v>CHF</v>
      </c>
    </row>
    <row r="49" spans="1:3" ht="12.75" customHeight="1">
      <c r="A49" s="42" t="str">
        <f>CONCATENATE(LEFT(BASE!E178,6),VLOOKUP('Perpetual Pricing (2)'!$D$1,XE!$A:$C,3,FALSE),RIGHT(BASE!E178,9))</f>
        <v>XSVW00EUPC0300ZZZ</v>
      </c>
      <c r="B49" s="85" t="str">
        <f>B46</f>
        <v>631,200</v>
      </c>
      <c r="C49" t="str">
        <f t="shared" si="0"/>
        <v>CHF</v>
      </c>
    </row>
    <row r="50" spans="1:3" ht="12.75" customHeight="1">
      <c r="A50" s="42" t="str">
        <f>CONCATENATE(LEFT(BASE!E179,6),VLOOKUP('Perpetual Pricing (2)'!$D$1,XE!$A:$C,3,FALSE),RIGHT(BASE!E179,9))</f>
        <v>XSVW00EUPC1000ZZZ</v>
      </c>
      <c r="B50" s="85" t="str">
        <f>B47</f>
        <v>1519,300</v>
      </c>
      <c r="C50" t="str">
        <f t="shared" si="0"/>
        <v>CHF</v>
      </c>
    </row>
    <row r="51" spans="1:3" ht="12.75" customHeight="1">
      <c r="A51" s="42" t="str">
        <f>CONCATENATE(LEFT(BASE!E190,6),VLOOKUP('Perpetual Pricing (2)'!$D$1,XE!$A:$C,3,FALSE),MID(BASE!E190,9,1),IF('Perpetual Pricing (2)'!$D$2="Standard","S","G"),RIGHT(BASE!E190,7))</f>
        <v>KXWK00EUPG0600ZZZ</v>
      </c>
      <c r="B51" s="85" t="str">
        <f>TEXT(ROUND(VLOOKUP('Perpetual Pricing (2)'!$D$2,XE!$M$5:$N$6,2,FALSE)*BASE!D190*VLOOKUP('Perpetual Pricing (2)'!$D$1,XE!$A:$F,6,FALSE)* (HLOOKUP($D$3,PARTNERPROGRAM!$D$7:$H$8,2,FALSE)),VLOOKUP('Perpetual Pricing (2)'!$D$1,XE!$A:$H,8,FALSE)),VLOOKUP('Perpetual Pricing (2)'!$D$1,XE!$A:$G,7,FALSE))</f>
        <v>187,600</v>
      </c>
      <c r="C51" t="str">
        <f t="shared" si="0"/>
        <v>CHF</v>
      </c>
    </row>
    <row r="52" spans="1:3" ht="12.75" customHeight="1">
      <c r="A52" s="42" t="str">
        <f>CONCATENATE(LEFT(BASE!E191,6),VLOOKUP('Perpetual Pricing (2)'!$D$1,XE!$A:$C,3,FALSE),MID(BASE!E191,9,1),IF('Perpetual Pricing (2)'!$D$2="Standard","S","G"),RIGHT(BASE!E191,7))</f>
        <v>KXWK00EUPG1200ZZZ</v>
      </c>
      <c r="B52" s="85" t="str">
        <f>TEXT(ROUND(VLOOKUP('Perpetual Pricing (2)'!$D$2,XE!$M$5:$N$6,2,FALSE)*BASE!D191*VLOOKUP('Perpetual Pricing (2)'!$D$1,XE!$A:$F,6,FALSE)* (HLOOKUP($D$3,PARTNERPROGRAM!$D$7:$H$8,2,FALSE)),VLOOKUP('Perpetual Pricing (2)'!$D$1,XE!$A:$H,8,FALSE)),VLOOKUP('Perpetual Pricing (2)'!$D$1,XE!$A:$G,7,FALSE))</f>
        <v>357,00</v>
      </c>
      <c r="C52" t="str">
        <f t="shared" si="0"/>
        <v>CHF</v>
      </c>
    </row>
    <row r="53" spans="1:3" ht="12.75" customHeight="1">
      <c r="A53" s="42" t="str">
        <f>CONCATENATE(LEFT(BASE!E192,6),VLOOKUP('Perpetual Pricing (2)'!$D$1,XE!$A:$C,3,FALSE),MID(BASE!E192,9,1),IF('Perpetual Pricing (2)'!$D$2="Standard","S","G"),RIGHT(BASE!E192,7))</f>
        <v>KXWK00EUPG2400ZZZ</v>
      </c>
      <c r="B53" s="85" t="str">
        <f>TEXT(ROUND(VLOOKUP('Perpetual Pricing (2)'!$D$2,XE!$M$5:$N$6,2,FALSE)*BASE!D192*VLOOKUP('Perpetual Pricing (2)'!$D$1,XE!$A:$F,6,FALSE)* (HLOOKUP($D$3,PARTNERPROGRAM!$D$7:$H$8,2,FALSE)),VLOOKUP('Perpetual Pricing (2)'!$D$1,XE!$A:$H,8,FALSE)),VLOOKUP('Perpetual Pricing (2)'!$D$1,XE!$A:$G,7,FALSE))</f>
        <v>682,00</v>
      </c>
      <c r="C53" t="str">
        <f t="shared" si="0"/>
        <v>CHF</v>
      </c>
    </row>
    <row r="54" spans="1:3" ht="12.75" customHeight="1">
      <c r="A54" s="42" t="str">
        <f>CONCATENATE(LEFT(BASE!E193,6),VLOOKUP('Perpetual Pricing (2)'!$D$1,XE!$A:$C,3,FALSE),MID(BASE!E193,9,1),IF('Perpetual Pricing (2)'!$D$2="Standard","S","G"),RIGHT(BASE!E193,7))</f>
        <v>KXWK00EUPG5000ZZZ</v>
      </c>
      <c r="B54" s="85" t="str">
        <f>TEXT(ROUND(VLOOKUP('Perpetual Pricing (2)'!$D$2,XE!$M$5:$N$6,2,FALSE)*BASE!D193*VLOOKUP('Perpetual Pricing (2)'!$D$1,XE!$A:$F,6,FALSE)* (HLOOKUP($D$3,PARTNERPROGRAM!$D$7:$H$8,2,FALSE)),VLOOKUP('Perpetual Pricing (2)'!$D$1,XE!$A:$H,8,FALSE)),VLOOKUP('Perpetual Pricing (2)'!$D$1,XE!$A:$G,7,FALSE))</f>
        <v>1262,500</v>
      </c>
      <c r="C54" t="str">
        <f t="shared" si="0"/>
        <v>CHF</v>
      </c>
    </row>
    <row r="55" spans="1:3">
      <c r="A55" s="42" t="str">
        <f>CONCATENATE(LEFT(BASE!E202,6),VLOOKUP('Perpetual Pricing (2)'!$D$1,XE!$A:$C,3,FALSE),MID(BASE!E202,9,1),IF('Perpetual Pricing (2)'!$D$2="Standard","S","G"),RIGHT(BASE!E202,7))</f>
        <v>SSPS50EUPG0100ZZZ</v>
      </c>
      <c r="B55" s="85" t="str">
        <f>TEXT(ROUND(VLOOKUP('Perpetual Pricing (2)'!$D$2,XE!$M$5:$N$6,2,FALSE)*BASE!D202*VLOOKUP('Perpetual Pricing (2)'!$D$1,XE!$A:$F,6,FALSE)* (HLOOKUP($D$3,PARTNERPROGRAM!$D$7:$H$8,2,FALSE)),VLOOKUP('Perpetual Pricing (2)'!$D$1,XE!$A:$H,8,FALSE)),VLOOKUP('Perpetual Pricing (2)'!$D$1,XE!$A:$G,7,FALSE))</f>
        <v>801,500</v>
      </c>
      <c r="C55" t="str">
        <f t="shared" si="0"/>
        <v>CHF</v>
      </c>
    </row>
    <row r="56" spans="1:3">
      <c r="A56" s="42" t="str">
        <f>CONCATENATE(LEFT(BASE!E203,6),VLOOKUP('Perpetual Pricing (2)'!$D$1,XE!$A:$C,3,FALSE),MID(BASE!E203,9,1),IF('Perpetual Pricing (2)'!$D$2="Standard","S","G"),RIGHT(BASE!E203,7))</f>
        <v>SSPS50EUPG0100ZZA</v>
      </c>
      <c r="B56" s="85" t="str">
        <f>TEXT(ROUND(VLOOKUP('Perpetual Pricing (2)'!$D$2,XE!$M$5:$N$6,2,FALSE)*BASE!D203*VLOOKUP('Perpetual Pricing (2)'!$D$1,XE!$A:$F,6,FALSE)* (HLOOKUP($D$3,PARTNERPROGRAM!$D$7:$H$8,2,FALSE)),VLOOKUP('Perpetual Pricing (2)'!$D$1,XE!$A:$H,8,FALSE)),VLOOKUP('Perpetual Pricing (2)'!$D$1,XE!$A:$G,7,FALSE))</f>
        <v>729,400</v>
      </c>
      <c r="C56" t="str">
        <f t="shared" si="0"/>
        <v>CHF</v>
      </c>
    </row>
    <row r="57" spans="1:3">
      <c r="A57" s="42" t="str">
        <f>CONCATENATE(LEFT(BASE!E204,6),VLOOKUP('Perpetual Pricing (2)'!$D$1,XE!$A:$C,3,FALSE),MID(BASE!E204,9,1),IF('Perpetual Pricing (2)'!$D$2="Standard","S","G"),RIGHT(BASE!E204,7))</f>
        <v>SSPS50EUPG0100ZZB</v>
      </c>
      <c r="B57" s="85" t="str">
        <f>TEXT(ROUND(VLOOKUP('Perpetual Pricing (2)'!$D$2,XE!$M$5:$N$6,2,FALSE)*BASE!D204*VLOOKUP('Perpetual Pricing (2)'!$D$1,XE!$A:$F,6,FALSE)* (HLOOKUP($D$3,PARTNERPROGRAM!$D$7:$H$8,2,FALSE)),VLOOKUP('Perpetual Pricing (2)'!$D$1,XE!$A:$H,8,FALSE)),VLOOKUP('Perpetual Pricing (2)'!$D$1,XE!$A:$G,7,FALSE))</f>
        <v>614,800</v>
      </c>
      <c r="C57" t="str">
        <f t="shared" si="0"/>
        <v>CHF</v>
      </c>
    </row>
    <row r="58" spans="1:3">
      <c r="A58" s="42" t="str">
        <f>CONCATENATE(LEFT(BASE!E205,6),VLOOKUP('Perpetual Pricing (2)'!$D$1,XE!$A:$C,3,FALSE),MID(BASE!E205,9,1),IF('Perpetual Pricing (2)'!$D$2="Standard","S","G"),RIGHT(BASE!E205,7))</f>
        <v>SSPS50EUPG0100ZZC</v>
      </c>
      <c r="B58" s="85" t="str">
        <f>TEXT(ROUND(VLOOKUP('Perpetual Pricing (2)'!$D$2,XE!$M$5:$N$6,2,FALSE)*BASE!D205*VLOOKUP('Perpetual Pricing (2)'!$D$1,XE!$A:$F,6,FALSE)* (HLOOKUP($D$3,PARTNERPROGRAM!$D$7:$H$8,2,FALSE)),VLOOKUP('Perpetual Pricing (2)'!$D$1,XE!$A:$H,8,FALSE)),VLOOKUP('Perpetual Pricing (2)'!$D$1,XE!$A:$G,7,FALSE))</f>
        <v>499,300</v>
      </c>
      <c r="C58" t="str">
        <f t="shared" si="0"/>
        <v>CHF</v>
      </c>
    </row>
    <row r="59" spans="1:3">
      <c r="A59" s="42" t="str">
        <f>CONCATENATE(LEFT(BASE!E206,6),VLOOKUP('Perpetual Pricing (2)'!$D$1,XE!$A:$C,3,FALSE),MID(BASE!E206,9,1),IF('Perpetual Pricing (2)'!$D$2="Standard","S","G"),RIGHT(BASE!E206,7))</f>
        <v>SUPS50EUUG0100ZPZ</v>
      </c>
      <c r="B59" s="85" t="str">
        <f>TEXT(ROUND(VLOOKUP('Perpetual Pricing (2)'!$D$2,XE!$M$5:$N$6,2,FALSE)*BASE!D206*VLOOKUP('Perpetual Pricing (2)'!$D$1,XE!$A:$F,6,FALSE)* (HLOOKUP($D$3,PARTNERPROGRAM!$D$7:$H$8,2,FALSE)),VLOOKUP('Perpetual Pricing (2)'!$D$1,XE!$A:$H,8,FALSE)),VLOOKUP('Perpetual Pricing (2)'!$D$1,XE!$A:$G,7,FALSE))</f>
        <v>439,200</v>
      </c>
      <c r="C59" t="str">
        <f t="shared" si="0"/>
        <v>CHF</v>
      </c>
    </row>
    <row r="60" spans="1:3">
      <c r="A60" s="42" t="str">
        <f>CONCATENATE(LEFT(BASE!E207,6),VLOOKUP('Perpetual Pricing (2)'!$D$1,XE!$A:$C,3,FALSE),MID(BASE!E207,9,1),IF('Perpetual Pricing (2)'!$D$2="Standard","S","G"),RIGHT(BASE!E207,7))</f>
        <v>SUPP50EUUG0100ZPZ</v>
      </c>
      <c r="B60" s="85" t="str">
        <f>TEXT(ROUND(VLOOKUP('Perpetual Pricing (2)'!$D$2,XE!$M$5:$N$6,2,FALSE)*BASE!D207*VLOOKUP('Perpetual Pricing (2)'!$D$1,XE!$A:$F,6,FALSE)* (HLOOKUP($D$3,PARTNERPROGRAM!$D$7:$H$8,2,FALSE)),VLOOKUP('Perpetual Pricing (2)'!$D$1,XE!$A:$H,8,FALSE)),VLOOKUP('Perpetual Pricing (2)'!$D$1,XE!$A:$G,7,FALSE))</f>
        <v>640,100</v>
      </c>
      <c r="C60" t="str">
        <f t="shared" si="0"/>
        <v>CHF</v>
      </c>
    </row>
    <row r="61" spans="1:3" ht="12.75" customHeight="1">
      <c r="A61" s="42" t="str">
        <f>CONCATENATE(LEFT(BASE!E217,6),VLOOKUP('Perpetual Pricing (2)'!$D$1,XE!$A:$C,3,FALSE),RIGHT(BASE!E217,9))</f>
        <v>SSPS50EUPC0100ZZZ</v>
      </c>
      <c r="B61" s="85" t="str">
        <f>B15</f>
        <v>694,600</v>
      </c>
      <c r="C61" t="str">
        <f t="shared" si="0"/>
        <v>CHF</v>
      </c>
    </row>
    <row r="62" spans="1:3">
      <c r="A62" s="42" t="str">
        <f>CONCATENATE(LEFT(BASE!E218,6),VLOOKUP('Perpetual Pricing (2)'!$D$1,XE!$A:$C,3,FALSE),RIGHT(BASE!E218,9))</f>
        <v>SSPS50EUPC0100ZZA</v>
      </c>
      <c r="B62" s="85" t="str">
        <f>B16</f>
        <v>632,100</v>
      </c>
      <c r="C62" t="str">
        <f t="shared" si="0"/>
        <v>CHF</v>
      </c>
    </row>
    <row r="63" spans="1:3">
      <c r="A63" s="42" t="str">
        <f>CONCATENATE(LEFT(BASE!E219,6),VLOOKUP('Perpetual Pricing (2)'!$D$1,XE!$A:$C,3,FALSE),RIGHT(BASE!E219,9))</f>
        <v>SSPS50EUPC0100ZZB</v>
      </c>
      <c r="B63" s="85" t="str">
        <f>B17</f>
        <v>532,800</v>
      </c>
      <c r="C63" t="str">
        <f t="shared" si="0"/>
        <v>CHF</v>
      </c>
    </row>
    <row r="64" spans="1:3">
      <c r="A64" s="42" t="str">
        <f>CONCATENATE(LEFT(BASE!E220,6),VLOOKUP('Perpetual Pricing (2)'!$D$1,XE!$A:$C,3,FALSE),RIGHT(BASE!E220,9))</f>
        <v>SSPS50EUPC0100ZZC</v>
      </c>
      <c r="B64" s="85" t="str">
        <f>B18</f>
        <v>432,800</v>
      </c>
      <c r="C64" t="str">
        <f t="shared" si="0"/>
        <v>CHF</v>
      </c>
    </row>
    <row r="65" spans="1:3">
      <c r="A65" s="42" t="str">
        <f>CONCATENATE(LEFT(BASE!E231,6),VLOOKUP('Perpetual Pricing (2)'!$D$1,XE!$A:$C,3,FALSE),MID(BASE!E231,9,1),IF('Perpetual Pricing (2)'!$D$2="Standard","S","G"),RIGHT(BASE!E231,7))</f>
        <v>BSBS50EUPG0100ZZZ</v>
      </c>
      <c r="B65" s="85" t="str">
        <f>TEXT(ROUND(VLOOKUP('Perpetual Pricing (2)'!$D$2,XE!$M$5:$N$6,2,FALSE)*BASE!D231*VLOOKUP('Perpetual Pricing (2)'!$D$1,XE!$A:$F,6,FALSE)* (HLOOKUP($D$3,PARTNERPROGRAM!$D$7:$H$8,2,FALSE)),VLOOKUP('Perpetual Pricing (2)'!$D$1,XE!$A:$H,8,FALSE)),VLOOKUP('Perpetual Pricing (2)'!$D$1,XE!$A:$G,7,FALSE))</f>
        <v>401,800</v>
      </c>
      <c r="C65" t="str">
        <f t="shared" si="0"/>
        <v>CHF</v>
      </c>
    </row>
    <row r="66" spans="1:3" ht="12.75" customHeight="1">
      <c r="A66" s="42" t="str">
        <f>CONCATENATE(LEFT(BASE!E241,6),VLOOKUP('Perpetual Pricing (2)'!$D$1,XE!$A:$C,3,FALSE),RIGHT(BASE!E241,9))</f>
        <v>BSBS50EUPC0100ZZZ</v>
      </c>
      <c r="B66" s="85" t="str">
        <f>B24</f>
        <v>348,300</v>
      </c>
      <c r="C66" t="str">
        <f t="shared" si="0"/>
        <v>CHF</v>
      </c>
    </row>
    <row r="67" spans="1:3">
      <c r="A67" s="42" t="str">
        <f>CONCATENATE(LEFT(BASE!E251,6),VLOOKUP('Perpetual Pricing (2)'!$D$1,XE!$A:$C,3,FALSE),MID(BASE!E251,9,1),IF('Perpetual Pricing (2)'!$D$2="Standard","S","G"),RIGHT(BASE!E251,7))</f>
        <v>DSPD50EUPG0100ZZZ</v>
      </c>
      <c r="B67" s="85" t="str">
        <f>TEXT(ROUND(VLOOKUP('Perpetual Pricing (2)'!$D$2,XE!$M$5:$N$6,2,FALSE)*BASE!D251*VLOOKUP('Perpetual Pricing (2)'!$D$1,XE!$A:$F,6,FALSE)* (HLOOKUP($D$3,PARTNERPROGRAM!$D$7:$H$8,2,FALSE)),VLOOKUP('Perpetual Pricing (2)'!$D$1,XE!$A:$H,8,FALSE)),VLOOKUP('Perpetual Pricing (2)'!$D$1,XE!$A:$G,7,FALSE))</f>
        <v>73,200</v>
      </c>
      <c r="C67" t="str">
        <f t="shared" si="0"/>
        <v>CHF</v>
      </c>
    </row>
    <row r="68" spans="1:3">
      <c r="A68" s="42" t="str">
        <f>CONCATENATE(LEFT(BASE!E252,6),VLOOKUP('Perpetual Pricing (2)'!$D$1,XE!$A:$C,3,FALSE),MID(BASE!E252,9,1),IF('Perpetual Pricing (2)'!$D$2="Standard","S","G"),RIGHT(BASE!E252,7))</f>
        <v>DSPD50EUPG0100ZZA</v>
      </c>
      <c r="B68" s="85" t="str">
        <f>TEXT(ROUND(VLOOKUP('Perpetual Pricing (2)'!$D$2,XE!$M$5:$N$6,2,FALSE)*BASE!D252*VLOOKUP('Perpetual Pricing (2)'!$D$1,XE!$A:$F,6,FALSE)* (HLOOKUP($D$3,PARTNERPROGRAM!$D$7:$H$8,2,FALSE)),VLOOKUP('Perpetual Pricing (2)'!$D$1,XE!$A:$H,8,FALSE)),VLOOKUP('Perpetual Pricing (2)'!$D$1,XE!$A:$G,7,FALSE))</f>
        <v>66,600</v>
      </c>
      <c r="C68" t="str">
        <f t="shared" si="0"/>
        <v>CHF</v>
      </c>
    </row>
    <row r="69" spans="1:3">
      <c r="A69" s="42" t="str">
        <f>CONCATENATE(LEFT(BASE!E253,6),VLOOKUP('Perpetual Pricing (2)'!$D$1,XE!$A:$C,3,FALSE),MID(BASE!E253,9,1),IF('Perpetual Pricing (2)'!$D$2="Standard","S","G"),RIGHT(BASE!E253,7))</f>
        <v>DSPD50EUPG0100ZZB</v>
      </c>
      <c r="B69" s="85" t="str">
        <f>TEXT(ROUND(VLOOKUP('Perpetual Pricing (2)'!$D$2,XE!$M$5:$N$6,2,FALSE)*BASE!D253*VLOOKUP('Perpetual Pricing (2)'!$D$1,XE!$A:$F,6,FALSE)* (HLOOKUP($D$3,PARTNERPROGRAM!$D$7:$H$8,2,FALSE)),VLOOKUP('Perpetual Pricing (2)'!$D$1,XE!$A:$H,8,FALSE)),VLOOKUP('Perpetual Pricing (2)'!$D$1,XE!$A:$G,7,FALSE))</f>
        <v>56,100</v>
      </c>
      <c r="C69" t="str">
        <f t="shared" si="0"/>
        <v>CHF</v>
      </c>
    </row>
    <row r="70" spans="1:3">
      <c r="A70" s="42" t="str">
        <f>CONCATENATE(LEFT(BASE!E254,6),VLOOKUP('Perpetual Pricing (2)'!$D$1,XE!$A:$C,3,FALSE),MID(BASE!E254,9,1),IF('Perpetual Pricing (2)'!$D$2="Standard","S","G"),RIGHT(BASE!E254,7))</f>
        <v>DSPD50EUPG0100ZZC</v>
      </c>
      <c r="B70" s="85" t="str">
        <f>TEXT(ROUND(VLOOKUP('Perpetual Pricing (2)'!$D$2,XE!$M$5:$N$6,2,FALSE)*BASE!D254*VLOOKUP('Perpetual Pricing (2)'!$D$1,XE!$A:$F,6,FALSE)* (HLOOKUP($D$3,PARTNERPROGRAM!$D$7:$H$8,2,FALSE)),VLOOKUP('Perpetual Pricing (2)'!$D$1,XE!$A:$H,8,FALSE)),VLOOKUP('Perpetual Pricing (2)'!$D$1,XE!$A:$G,7,FALSE))</f>
        <v>45,600</v>
      </c>
      <c r="C70" t="str">
        <f t="shared" si="0"/>
        <v>CHF</v>
      </c>
    </row>
    <row r="71" spans="1:3">
      <c r="A71" s="42" t="str">
        <f>CONCATENATE(LEFT(BASE!E255,6),VLOOKUP('Perpetual Pricing (2)'!$D$1,XE!$A:$C,3,FALSE),MID(BASE!E255,9,1),IF('Perpetual Pricing (2)'!$D$2="Standard","S","G"),RIGHT(BASE!E255,7))</f>
        <v>DSPD50EUPG0300ZZZ</v>
      </c>
      <c r="B71" s="85" t="str">
        <f>TEXT(ROUND(VLOOKUP('Perpetual Pricing (2)'!$D$2,XE!$M$5:$N$6,2,FALSE)*BASE!D255*VLOOKUP('Perpetual Pricing (2)'!$D$1,XE!$A:$F,6,FALSE)* (HLOOKUP($D$3,PARTNERPROGRAM!$D$7:$H$8,2,FALSE)),VLOOKUP('Perpetual Pricing (2)'!$D$1,XE!$A:$H,8,FALSE)),VLOOKUP('Perpetual Pricing (2)'!$D$1,XE!$A:$G,7,FALSE))</f>
        <v>171,200</v>
      </c>
      <c r="C71" t="str">
        <f t="shared" si="0"/>
        <v>CHF</v>
      </c>
    </row>
    <row r="72" spans="1:3" ht="12.75" customHeight="1">
      <c r="A72" s="42" t="str">
        <f>CONCATENATE(LEFT(BASE!E264,6),VLOOKUP('Perpetual Pricing (2)'!$D$1,XE!$A:$C,3,FALSE),RIGHT(BASE!E264,9))</f>
        <v>DSPD50EUPC0100ZZZ</v>
      </c>
      <c r="B72" s="85" t="str">
        <f>B30</f>
        <v>63,400</v>
      </c>
      <c r="C72" t="str">
        <f t="shared" ref="C72:C135" si="1">RIGHT($B$6,3)</f>
        <v>CHF</v>
      </c>
    </row>
    <row r="73" spans="1:3">
      <c r="A73" s="42" t="str">
        <f>CONCATENATE(LEFT(BASE!E265,6),VLOOKUP('Perpetual Pricing (2)'!$D$1,XE!$A:$C,3,FALSE),RIGHT(BASE!E265,9))</f>
        <v>DSPD50EUPC0100ZZA</v>
      </c>
      <c r="B73" s="85" t="str">
        <f>B31</f>
        <v>57,700</v>
      </c>
      <c r="C73" t="str">
        <f t="shared" si="1"/>
        <v>CHF</v>
      </c>
    </row>
    <row r="74" spans="1:3">
      <c r="A74" s="42" t="str">
        <f>CONCATENATE(LEFT(BASE!E266,6),VLOOKUP('Perpetual Pricing (2)'!$D$1,XE!$A:$C,3,FALSE),RIGHT(BASE!E266,9))</f>
        <v>DSPD50EUPC0100ZZB</v>
      </c>
      <c r="B74" s="85" t="str">
        <f>B32</f>
        <v>48,600</v>
      </c>
      <c r="C74" t="str">
        <f t="shared" si="1"/>
        <v>CHF</v>
      </c>
    </row>
    <row r="75" spans="1:3">
      <c r="A75" s="42" t="str">
        <f>CONCATENATE(LEFT(BASE!E267,6),VLOOKUP('Perpetual Pricing (2)'!$D$1,XE!$A:$C,3,FALSE),RIGHT(BASE!E267,9))</f>
        <v>DSPD50EUPC0100ZZC</v>
      </c>
      <c r="B75" s="85" t="str">
        <f>B33</f>
        <v>39,500</v>
      </c>
      <c r="C75" t="str">
        <f t="shared" si="1"/>
        <v>CHF</v>
      </c>
    </row>
    <row r="76" spans="1:3" ht="12.75" customHeight="1">
      <c r="A76" s="42" t="str">
        <f>CONCATENATE(LEFT(BASE!E277,6),VLOOKUP('Perpetual Pricing (2)'!$D$1,XE!$A:$C,3,FALSE),MID(BASE!E277,9,1),IF('Perpetual Pricing (2)'!$D$2="Standard","S","G"),RIGHT(BASE!E277,7))</f>
        <v>ISPI50EUNG011YZZZ</v>
      </c>
      <c r="B76" s="85" t="str">
        <f>TEXT(ROUND(VLOOKUP('Perpetual Pricing (2)'!$D$2,XE!$M$5:$N$6,2,FALSE)*BASE!D277*VLOOKUP('Perpetual Pricing (2)'!$D$1,XE!$A:$F,6,FALSE)* (HLOOKUP($D$3,PARTNERPROGRAM!$D$7:$H$8,2,FALSE)),VLOOKUP('Perpetual Pricing (2)'!$D$1,XE!$A:$H,8,FALSE)),VLOOKUP('Perpetual Pricing (2)'!$D$1,XE!$A:$G,7,FALSE))</f>
        <v>2561,900</v>
      </c>
      <c r="C76" t="str">
        <f t="shared" si="1"/>
        <v>CHF</v>
      </c>
    </row>
    <row r="77" spans="1:3">
      <c r="A77" s="42" t="str">
        <f>CONCATENATE(LEFT(BASE!E278,6),VLOOKUP('Perpetual Pricing (2)'!$D$1,XE!$A:$C,3,FALSE),MID(BASE!E278,9,1),IF('Perpetual Pricing (2)'!$D$2="Standard","S","G"),RIGHT(BASE!E278,7))</f>
        <v>IADD50EUNG011YZZZ</v>
      </c>
      <c r="B77" s="85" t="str">
        <f>TEXT(ROUND(VLOOKUP('Perpetual Pricing (2)'!$D$2,XE!$M$5:$N$6,2,FALSE)*BASE!D278*VLOOKUP('Perpetual Pricing (2)'!$D$1,XE!$A:$F,6,FALSE)* (HLOOKUP($D$3,PARTNERPROGRAM!$D$7:$H$8,2,FALSE)),VLOOKUP('Perpetual Pricing (2)'!$D$1,XE!$A:$H,8,FALSE)),VLOOKUP('Perpetual Pricing (2)'!$D$1,XE!$A:$G,7,FALSE))</f>
        <v>1463,900</v>
      </c>
      <c r="C77" t="str">
        <f t="shared" si="1"/>
        <v>CHF</v>
      </c>
    </row>
    <row r="78" spans="1:3">
      <c r="A78" s="42" t="str">
        <f>CONCATENATE(LEFT(BASE!E279,6),VLOOKUP('Perpetual Pricing (2)'!$D$1,XE!$A:$C,3,FALSE),MID(BASE!E279,9,1),IF('Perpetual Pricing (2)'!$D$2="Standard","S","G"),RIGHT(BASE!E279,7))</f>
        <v>ISPI50EUNG013MZZZ</v>
      </c>
      <c r="B78" s="85" t="str">
        <f>TEXT(ROUND(VLOOKUP('Perpetual Pricing (2)'!$D$2,XE!$M$5:$N$6,2,FALSE)*BASE!D279*VLOOKUP('Perpetual Pricing (2)'!$D$1,XE!$A:$F,6,FALSE)* (HLOOKUP($D$3,PARTNERPROGRAM!$D$7:$H$8,2,FALSE)),VLOOKUP('Perpetual Pricing (2)'!$D$1,XE!$A:$H,8,FALSE)),VLOOKUP('Perpetual Pricing (2)'!$D$1,XE!$A:$G,7,FALSE))</f>
        <v>960,700</v>
      </c>
      <c r="C78" t="str">
        <f t="shared" si="1"/>
        <v>CHF</v>
      </c>
    </row>
    <row r="79" spans="1:3">
      <c r="A79" s="42" t="str">
        <f>CONCATENATE(LEFT(BASE!E280,6),VLOOKUP('Perpetual Pricing (2)'!$D$1,XE!$A:$C,3,FALSE),MID(BASE!E280,9,1),IF('Perpetual Pricing (2)'!$D$2="Standard","S","G"),RIGHT(BASE!E280,7))</f>
        <v>ISPI50EUNG011MZZZ</v>
      </c>
      <c r="B79" s="85" t="str">
        <f>TEXT(ROUND(VLOOKUP('Perpetual Pricing (2)'!$D$2,XE!$M$5:$N$6,2,FALSE)*BASE!D280*VLOOKUP('Perpetual Pricing (2)'!$D$1,XE!$A:$F,6,FALSE)* (HLOOKUP($D$3,PARTNERPROGRAM!$D$7:$H$8,2,FALSE)),VLOOKUP('Perpetual Pricing (2)'!$D$1,XE!$A:$H,8,FALSE)),VLOOKUP('Perpetual Pricing (2)'!$D$1,XE!$A:$G,7,FALSE))</f>
        <v>363,100</v>
      </c>
      <c r="C79" t="str">
        <f t="shared" si="1"/>
        <v>CHF</v>
      </c>
    </row>
    <row r="80" spans="1:3">
      <c r="A80" s="42" t="str">
        <f>CONCATENATE(LEFT(BASE!E281,6),VLOOKUP('Perpetual Pricing (2)'!$D$1,XE!$A:$C,3,FALSE),MID(BASE!E281,9,1),IF('Perpetual Pricing (2)'!$D$2="Standard","S","G"),RIGHT(BASE!E281,7))</f>
        <v>ISPI50EUNG012WZZZ</v>
      </c>
      <c r="B80" s="85" t="str">
        <f>TEXT(ROUND(VLOOKUP('Perpetual Pricing (2)'!$D$2,XE!$M$5:$N$6,2,FALSE)*BASE!D281*VLOOKUP('Perpetual Pricing (2)'!$D$1,XE!$A:$F,6,FALSE)* (HLOOKUP($D$3,PARTNERPROGRAM!$D$7:$H$8,2,FALSE)),VLOOKUP('Perpetual Pricing (2)'!$D$1,XE!$A:$H,8,FALSE)),VLOOKUP('Perpetual Pricing (2)'!$D$1,XE!$A:$G,7,FALSE))</f>
        <v>186,700</v>
      </c>
      <c r="C80" t="str">
        <f t="shared" si="1"/>
        <v>CHF</v>
      </c>
    </row>
    <row r="81" spans="1:3">
      <c r="A81" s="42" t="str">
        <f>CONCATENATE(LEFT(BASE!E282,6),VLOOKUP('Perpetual Pricing (2)'!$D$1,XE!$A:$C,3,FALSE),MID(BASE!E282,9,1),IF('Perpetual Pricing (2)'!$D$2="Standard","S","G"),RIGHT(BASE!E282,7))</f>
        <v>IUSB50EUXG0100ZZZ</v>
      </c>
      <c r="B81" s="85" t="str">
        <f>TEXT(ROUND(VLOOKUP('Perpetual Pricing (2)'!$D$2,XE!$M$5:$N$6,2,FALSE)*BASE!D282*VLOOKUP('Perpetual Pricing (2)'!$D$1,XE!$A:$F,6,FALSE)* (HLOOKUP($D$3,PARTNERPROGRAM!$D$7:$H$8,2,FALSE)),VLOOKUP('Perpetual Pricing (2)'!$D$1,XE!$A:$H,8,FALSE)),VLOOKUP('Perpetual Pricing (2)'!$D$1,XE!$A:$G,7,FALSE))</f>
        <v>14,600</v>
      </c>
      <c r="C81" t="str">
        <f t="shared" si="1"/>
        <v>CHF</v>
      </c>
    </row>
    <row r="82" spans="1:3">
      <c r="A82" s="42" t="str">
        <f>CONCATENATE(LEFT(BASE!E283,6),VLOOKUP('Perpetual Pricing (2)'!$D$1,XE!$A:$C,3,FALSE),MID(BASE!E283,9,1),IF('Perpetual Pricing (2)'!$D$2="Standard","S","G"),RIGHT(BASE!E283,7))</f>
        <v>IPRO50EUNG011YZZZ</v>
      </c>
      <c r="B82" s="85" t="str">
        <f>TEXT(ROUND(VLOOKUP('Perpetual Pricing (2)'!$D$2,XE!$M$5:$N$6,2,FALSE)*BASE!D283*VLOOKUP('Perpetual Pricing (2)'!$D$1,XE!$A:$F,6,FALSE)* (HLOOKUP($D$3,PARTNERPROGRAM!$D$7:$H$8,2,FALSE)),VLOOKUP('Perpetual Pricing (2)'!$D$1,XE!$A:$H,8,FALSE)),VLOOKUP('Perpetual Pricing (2)'!$D$1,XE!$A:$G,7,FALSE))</f>
        <v>4607,700</v>
      </c>
      <c r="C82" t="str">
        <f t="shared" si="1"/>
        <v>CHF</v>
      </c>
    </row>
    <row r="83" spans="1:3">
      <c r="A83" s="42" t="str">
        <f>CONCATENATE(LEFT(BASE!E284,6),VLOOKUP('Perpetual Pricing (2)'!$D$1,XE!$A:$C,3,FALSE),MID(BASE!E284,9,1),IF('Perpetual Pricing (2)'!$D$2="Standard","S","G"),RIGHT(BASE!E284,7))</f>
        <v>IADP50EUNG011YZZZ</v>
      </c>
      <c r="B83" s="85" t="str">
        <f>TEXT(ROUND(VLOOKUP('Perpetual Pricing (2)'!$D$2,XE!$M$5:$N$6,2,FALSE)*BASE!D284*VLOOKUP('Perpetual Pricing (2)'!$D$1,XE!$A:$F,6,FALSE)* (HLOOKUP($D$3,PARTNERPROGRAM!$D$7:$H$8,2,FALSE)),VLOOKUP('Perpetual Pricing (2)'!$D$1,XE!$A:$H,8,FALSE)),VLOOKUP('Perpetual Pricing (2)'!$D$1,XE!$A:$G,7,FALSE))</f>
        <v>2631,400</v>
      </c>
      <c r="C83" t="str">
        <f t="shared" si="1"/>
        <v>CHF</v>
      </c>
    </row>
    <row r="84" spans="1:3">
      <c r="A84" s="42" t="str">
        <f>CONCATENATE(LEFT(BASE!E285,6),VLOOKUP('Perpetual Pricing (2)'!$D$1,XE!$A:$C,3,FALSE),MID(BASE!E285,9,1),IF('Perpetual Pricing (2)'!$D$2="Standard","S","G"),RIGHT(BASE!E285,7))</f>
        <v>IPRO50EUNG013MZZZ</v>
      </c>
      <c r="B84" s="85" t="str">
        <f>TEXT(ROUND(VLOOKUP('Perpetual Pricing (2)'!$D$2,XE!$M$5:$N$6,2,FALSE)*BASE!D285*VLOOKUP('Perpetual Pricing (2)'!$D$1,XE!$A:$F,6,FALSE)* (HLOOKUP($D$3,PARTNERPROGRAM!$D$7:$H$8,2,FALSE)),VLOOKUP('Perpetual Pricing (2)'!$D$1,XE!$A:$H,8,FALSE)),VLOOKUP('Perpetual Pricing (2)'!$D$1,XE!$A:$G,7,FALSE))</f>
        <v>1720,100</v>
      </c>
      <c r="C84" t="str">
        <f t="shared" si="1"/>
        <v>CHF</v>
      </c>
    </row>
    <row r="85" spans="1:3">
      <c r="A85" s="42" t="str">
        <f>CONCATENATE(LEFT(BASE!E286,6),VLOOKUP('Perpetual Pricing (2)'!$D$1,XE!$A:$C,3,FALSE),MID(BASE!E286,9,1),IF('Perpetual Pricing (2)'!$D$2="Standard","S","G"),RIGHT(BASE!E286,7))</f>
        <v>IPRO50EUNG011MZZZ</v>
      </c>
      <c r="B85" s="85" t="str">
        <f>TEXT(ROUND(VLOOKUP('Perpetual Pricing (2)'!$D$2,XE!$M$5:$N$6,2,FALSE)*BASE!D286*VLOOKUP('Perpetual Pricing (2)'!$D$1,XE!$A:$F,6,FALSE)* (HLOOKUP($D$3,PARTNERPROGRAM!$D$7:$H$8,2,FALSE)),VLOOKUP('Perpetual Pricing (2)'!$D$1,XE!$A:$H,8,FALSE)),VLOOKUP('Perpetual Pricing (2)'!$D$1,XE!$A:$G,7,FALSE))</f>
        <v>651,500</v>
      </c>
      <c r="C85" t="str">
        <f t="shared" si="1"/>
        <v>CHF</v>
      </c>
    </row>
    <row r="86" spans="1:3">
      <c r="A86" s="42" t="str">
        <f>CONCATENATE(LEFT(BASE!E287,6),VLOOKUP('Perpetual Pricing (2)'!$D$1,XE!$A:$C,3,FALSE),MID(BASE!E287,9,1),IF('Perpetual Pricing (2)'!$D$2="Standard","S","G"),RIGHT(BASE!E287,7))</f>
        <v>IPRO50EUNG012WZZZ</v>
      </c>
      <c r="B86" s="85" t="str">
        <f>TEXT(ROUND(VLOOKUP('Perpetual Pricing (2)'!$D$2,XE!$M$5:$N$6,2,FALSE)*BASE!D287*VLOOKUP('Perpetual Pricing (2)'!$D$1,XE!$A:$F,6,FALSE)* (HLOOKUP($D$3,PARTNERPROGRAM!$D$7:$H$8,2,FALSE)),VLOOKUP('Perpetual Pricing (2)'!$D$1,XE!$A:$H,8,FALSE)),VLOOKUP('Perpetual Pricing (2)'!$D$1,XE!$A:$G,7,FALSE))</f>
        <v>328,700</v>
      </c>
      <c r="C86" t="str">
        <f t="shared" si="1"/>
        <v>CHF</v>
      </c>
    </row>
    <row r="87" spans="1:3">
      <c r="A87" s="42" t="str">
        <f>CONCATENATE(LEFT(BASE!E288,6),VLOOKUP('Perpetual Pricing (2)'!$D$1,XE!$A:$C,3,FALSE),MID(BASE!E288,9,1),IF('Perpetual Pricing (2)'!$D$2="Standard","S","G"),RIGHT(BASE!E288,7))</f>
        <v>IUSP50EUXG0100ZZZ</v>
      </c>
      <c r="B87" s="85" t="str">
        <f>TEXT(ROUND(VLOOKUP('Perpetual Pricing (2)'!$D$2,XE!$M$5:$N$6,2,FALSE)*BASE!D288*VLOOKUP('Perpetual Pricing (2)'!$D$1,XE!$A:$F,6,FALSE)* (HLOOKUP($D$3,PARTNERPROGRAM!$D$7:$H$8,2,FALSE)),VLOOKUP('Perpetual Pricing (2)'!$D$1,XE!$A:$H,8,FALSE)),VLOOKUP('Perpetual Pricing (2)'!$D$1,XE!$A:$G,7,FALSE))</f>
        <v>14,600</v>
      </c>
      <c r="C87" t="str">
        <f t="shared" si="1"/>
        <v>CHF</v>
      </c>
    </row>
    <row r="88" spans="1:3" ht="12.75" customHeight="1">
      <c r="A88" s="42" t="str">
        <f>CONCATENATE(LEFT(BASE!E298,6),VLOOKUP('Perpetual Pricing (2)'!$D$1,XE!$A:$C,3,FALSE),MID(BASE!E298,9,1),IF('Perpetual Pricing (2)'!$D$2="Standard","S","G"),RIGHT(BASE!E298,7))</f>
        <v>DSDV50EUPG0600ZZZ</v>
      </c>
      <c r="B88" s="85" t="str">
        <f>TEXT(ROUND(VLOOKUP('Perpetual Pricing (2)'!$D$2,XE!$M$5:$N$6,2,FALSE)*BASE!D298*VLOOKUP('Perpetual Pricing (2)'!$D$1,XE!$A:$F,6,FALSE)* (HLOOKUP($D$3,PARTNERPROGRAM!$D$7:$H$8,2,FALSE)),VLOOKUP('Perpetual Pricing (2)'!$D$1,XE!$A:$H,8,FALSE)),VLOOKUP('Perpetual Pricing (2)'!$D$1,XE!$A:$G,7,FALSE))</f>
        <v>187,600</v>
      </c>
      <c r="C88" t="str">
        <f t="shared" si="1"/>
        <v>CHF</v>
      </c>
    </row>
    <row r="89" spans="1:3" ht="12.75" customHeight="1">
      <c r="A89" s="42" t="str">
        <f>CONCATENATE(LEFT(BASE!E299,6),VLOOKUP('Perpetual Pricing (2)'!$D$1,XE!$A:$C,3,FALSE),MID(BASE!E299,9,1),IF('Perpetual Pricing (2)'!$D$2="Standard","S","G"),RIGHT(BASE!E299,7))</f>
        <v>DSDV50EUPG1200ZZZ</v>
      </c>
      <c r="B89" s="85" t="str">
        <f>TEXT(ROUND(VLOOKUP('Perpetual Pricing (2)'!$D$2,XE!$M$5:$N$6,2,FALSE)*BASE!D299*VLOOKUP('Perpetual Pricing (2)'!$D$1,XE!$A:$F,6,FALSE)* (HLOOKUP($D$3,PARTNERPROGRAM!$D$7:$H$8,2,FALSE)),VLOOKUP('Perpetual Pricing (2)'!$D$1,XE!$A:$H,8,FALSE)),VLOOKUP('Perpetual Pricing (2)'!$D$1,XE!$A:$G,7,FALSE))</f>
        <v>357,00</v>
      </c>
      <c r="C89" t="str">
        <f t="shared" si="1"/>
        <v>CHF</v>
      </c>
    </row>
    <row r="90" spans="1:3" ht="12.75" customHeight="1">
      <c r="A90" s="42" t="str">
        <f>CONCATENATE(LEFT(BASE!E300,6),VLOOKUP('Perpetual Pricing (2)'!$D$1,XE!$A:$C,3,FALSE),MID(BASE!E300,9,1),IF('Perpetual Pricing (2)'!$D$2="Standard","S","G"),RIGHT(BASE!E300,7))</f>
        <v>DSDV50EUPG2400ZZZ</v>
      </c>
      <c r="B90" s="85" t="str">
        <f>TEXT(ROUND(VLOOKUP('Perpetual Pricing (2)'!$D$2,XE!$M$5:$N$6,2,FALSE)*BASE!D300*VLOOKUP('Perpetual Pricing (2)'!$D$1,XE!$A:$F,6,FALSE)* (HLOOKUP($D$3,PARTNERPROGRAM!$D$7:$H$8,2,FALSE)),VLOOKUP('Perpetual Pricing (2)'!$D$1,XE!$A:$H,8,FALSE)),VLOOKUP('Perpetual Pricing (2)'!$D$1,XE!$A:$G,7,FALSE))</f>
        <v>682,00</v>
      </c>
      <c r="C90" t="str">
        <f t="shared" si="1"/>
        <v>CHF</v>
      </c>
    </row>
    <row r="91" spans="1:3" ht="12.75" customHeight="1">
      <c r="A91" s="42" t="str">
        <f>CONCATENATE(LEFT(BASE!E301,6),VLOOKUP('Perpetual Pricing (2)'!$D$1,XE!$A:$C,3,FALSE),MID(BASE!E301,9,1),IF('Perpetual Pricing (2)'!$D$2="Standard","S","G"),RIGHT(BASE!E301,7))</f>
        <v>DSDV50EUPG5000ZZZ</v>
      </c>
      <c r="B91" s="85" t="str">
        <f>TEXT(ROUND(VLOOKUP('Perpetual Pricing (2)'!$D$2,XE!$M$5:$N$6,2,FALSE)*BASE!D301*VLOOKUP('Perpetual Pricing (2)'!$D$1,XE!$A:$F,6,FALSE)* (HLOOKUP($D$3,PARTNERPROGRAM!$D$7:$H$8,2,FALSE)),VLOOKUP('Perpetual Pricing (2)'!$D$1,XE!$A:$H,8,FALSE)),VLOOKUP('Perpetual Pricing (2)'!$D$1,XE!$A:$G,7,FALSE))</f>
        <v>1262,500</v>
      </c>
      <c r="C91" t="str">
        <f t="shared" si="1"/>
        <v>CHF</v>
      </c>
    </row>
    <row r="92" spans="1:3" ht="12.75" customHeight="1">
      <c r="A92" s="42" t="str">
        <f>CONCATENATE(LEFT(BASE!E302,6),VLOOKUP('Perpetual Pricing (2)'!$D$1,XE!$A:$C,3,FALSE),MID(BASE!E302,9,1),IF('Perpetual Pricing (2)'!$D$2="Standard","S","G"),RIGHT(BASE!E302,7))</f>
        <v>SSSV50EUPG0100ZZZ</v>
      </c>
      <c r="B92" s="85" t="str">
        <f>TEXT(ROUND(VLOOKUP('Perpetual Pricing (2)'!$D$2,XE!$M$5:$N$6,2,FALSE)*BASE!D302*VLOOKUP('Perpetual Pricing (2)'!$D$1,XE!$A:$F,6,FALSE)* (HLOOKUP($D$3,PARTNERPROGRAM!$D$7:$H$8,2,FALSE)),VLOOKUP('Perpetual Pricing (2)'!$D$1,XE!$A:$H,8,FALSE)),VLOOKUP('Perpetual Pricing (2)'!$D$1,XE!$A:$G,7,FALSE))</f>
        <v>289,100</v>
      </c>
      <c r="C92" t="str">
        <f t="shared" si="1"/>
        <v>CHF</v>
      </c>
    </row>
    <row r="93" spans="1:3" ht="12.75" customHeight="1">
      <c r="A93" s="42" t="str">
        <f>CONCATENATE(LEFT(BASE!E303,6),VLOOKUP('Perpetual Pricing (2)'!$D$1,XE!$A:$C,3,FALSE),MID(BASE!E303,9,1),IF('Perpetual Pricing (2)'!$D$2="Standard","S","G"),RIGHT(BASE!E303,7))</f>
        <v>SSSV50EUPG0300ZZZ</v>
      </c>
      <c r="B93" s="85" t="str">
        <f>TEXT(ROUND(VLOOKUP('Perpetual Pricing (2)'!$D$2,XE!$M$5:$N$6,2,FALSE)*BASE!D303*VLOOKUP('Perpetual Pricing (2)'!$D$1,XE!$A:$F,6,FALSE)* (HLOOKUP($D$3,PARTNERPROGRAM!$D$7:$H$8,2,FALSE)),VLOOKUP('Perpetual Pricing (2)'!$D$1,XE!$A:$H,8,FALSE)),VLOOKUP('Perpetual Pricing (2)'!$D$1,XE!$A:$G,7,FALSE))</f>
        <v>728,300</v>
      </c>
      <c r="C93" t="str">
        <f t="shared" si="1"/>
        <v>CHF</v>
      </c>
    </row>
    <row r="94" spans="1:3" ht="12.75" customHeight="1">
      <c r="A94" s="42" t="str">
        <f>CONCATENATE(LEFT(BASE!E304,6),VLOOKUP('Perpetual Pricing (2)'!$D$1,XE!$A:$C,3,FALSE),MID(BASE!E304,9,1),IF('Perpetual Pricing (2)'!$D$2="Standard","S","G"),RIGHT(BASE!E304,7))</f>
        <v>SSSV50EUPG0600ZZZ</v>
      </c>
      <c r="B94" s="85" t="str">
        <f>TEXT(ROUND(VLOOKUP('Perpetual Pricing (2)'!$D$2,XE!$M$5:$N$6,2,FALSE)*BASE!D304*VLOOKUP('Perpetual Pricing (2)'!$D$1,XE!$A:$F,6,FALSE)* (HLOOKUP($D$3,PARTNERPROGRAM!$D$7:$H$8,2,FALSE)),VLOOKUP('Perpetual Pricing (2)'!$D$1,XE!$A:$H,8,FALSE)),VLOOKUP('Perpetual Pricing (2)'!$D$1,XE!$A:$G,7,FALSE))</f>
        <v>947,900</v>
      </c>
      <c r="C94" t="str">
        <f t="shared" si="1"/>
        <v>CHF</v>
      </c>
    </row>
    <row r="95" spans="1:3" ht="12.75" customHeight="1">
      <c r="A95" s="42" t="str">
        <f>CONCATENATE(LEFT(BASE!E305,6),VLOOKUP('Perpetual Pricing (2)'!$D$1,XE!$A:$C,3,FALSE),MID(BASE!E305,9,1),IF('Perpetual Pricing (2)'!$D$2="Standard","S","G"),RIGHT(BASE!E305,7))</f>
        <v>SSSV50EUPG1200ZZZ</v>
      </c>
      <c r="B95" s="85" t="str">
        <f>TEXT(ROUND(VLOOKUP('Perpetual Pricing (2)'!$D$2,XE!$M$5:$N$6,2,FALSE)*BASE!D305*VLOOKUP('Perpetual Pricing (2)'!$D$1,XE!$A:$F,6,FALSE)* (HLOOKUP($D$3,PARTNERPROGRAM!$D$7:$H$8,2,FALSE)),VLOOKUP('Perpetual Pricing (2)'!$D$1,XE!$A:$H,8,FALSE)),VLOOKUP('Perpetual Pricing (2)'!$D$1,XE!$A:$G,7,FALSE))</f>
        <v>1387,100</v>
      </c>
      <c r="C95" t="str">
        <f t="shared" si="1"/>
        <v>CHF</v>
      </c>
    </row>
    <row r="96" spans="1:3" ht="12.75" customHeight="1">
      <c r="A96" s="42" t="str">
        <f>CONCATENATE(LEFT(BASE!E306,6),VLOOKUP('Perpetual Pricing (2)'!$D$1,XE!$A:$C,3,FALSE),MID(BASE!E306,9,1),IF('Perpetual Pricing (2)'!$D$2="Standard","S","G"),RIGHT(BASE!E306,7))</f>
        <v>SSSV50EUPG2400ZZZ</v>
      </c>
      <c r="B96" s="85" t="str">
        <f>TEXT(ROUND(VLOOKUP('Perpetual Pricing (2)'!$D$2,XE!$M$5:$N$6,2,FALSE)*BASE!D306*VLOOKUP('Perpetual Pricing (2)'!$D$1,XE!$A:$F,6,FALSE)* (HLOOKUP($D$3,PARTNERPROGRAM!$D$7:$H$8,2,FALSE)),VLOOKUP('Perpetual Pricing (2)'!$D$1,XE!$A:$H,8,FALSE)),VLOOKUP('Perpetual Pricing (2)'!$D$1,XE!$A:$G,7,FALSE))</f>
        <v>2744,900</v>
      </c>
      <c r="C96" t="str">
        <f t="shared" si="1"/>
        <v>CHF</v>
      </c>
    </row>
    <row r="97" spans="1:3" ht="12.75" customHeight="1">
      <c r="A97" s="42" t="str">
        <f>CONCATENATE(LEFT(BASE!E307,6),VLOOKUP('Perpetual Pricing (2)'!$D$1,XE!$A:$C,3,FALSE),MID(BASE!E307,9,1),IF('Perpetual Pricing (2)'!$D$2="Standard","S","G"),RIGHT(BASE!E307,7))</f>
        <v>SSSV50EUPG5000ZZZ</v>
      </c>
      <c r="B97" s="85" t="str">
        <f>TEXT(ROUND(VLOOKUP('Perpetual Pricing (2)'!$D$2,XE!$M$5:$N$6,2,FALSE)*BASE!D307*VLOOKUP('Perpetual Pricing (2)'!$D$1,XE!$A:$F,6,FALSE)* (HLOOKUP($D$3,PARTNERPROGRAM!$D$7:$H$8,2,FALSE)),VLOOKUP('Perpetual Pricing (2)'!$D$1,XE!$A:$H,8,FALSE)),VLOOKUP('Perpetual Pricing (2)'!$D$1,XE!$A:$G,7,FALSE))</f>
        <v>5672,700</v>
      </c>
      <c r="C97" t="str">
        <f t="shared" si="1"/>
        <v>CHF</v>
      </c>
    </row>
    <row r="98" spans="1:3">
      <c r="A98" s="42" t="str">
        <f>CONCATENATE(LEFT(BASE!E316,6),VLOOKUP('Perpetual Pricing (2)'!$D$1,XE!$A:$C,3,FALSE),MID(BASE!E316,9,1),IF('Perpetual Pricing (2)'!$D$2="Standard","S","G"),RIGHT(BASE!E316,7))</f>
        <v>G25080EUPG0100ZZZ</v>
      </c>
      <c r="B98" s="85" t="str">
        <f>TEXT(ROUND(VLOOKUP('Perpetual Pricing (2)'!$D$2,XE!$M$5:$N$6,2,FALSE)*BASE!D316*VLOOKUP('Perpetual Pricing (2)'!$D$1,XE!$A:$F,6,FALSE)* (HLOOKUP($D$3,PARTNERPROGRAM!$D$7:$H$8,2,FALSE)),VLOOKUP('Perpetual Pricing (2)'!$D$1,XE!$A:$H,8,FALSE)),VLOOKUP('Perpetual Pricing (2)'!$D$1,XE!$A:$G,7,FALSE))</f>
        <v>365,300</v>
      </c>
      <c r="C98" t="str">
        <f t="shared" si="1"/>
        <v>CHF</v>
      </c>
    </row>
    <row r="99" spans="1:3">
      <c r="A99" s="42" t="str">
        <f>CONCATENATE(LEFT(BASE!E317,6),VLOOKUP('Perpetual Pricing (2)'!$D$1,XE!$A:$C,3,FALSE),MID(BASE!E317,9,1),IF('Perpetual Pricing (2)'!$D$2="Standard","S","G"),RIGHT(BASE!E317,7))</f>
        <v>GULM80EUPG0100ZZZ</v>
      </c>
      <c r="B99" s="85" t="str">
        <f>TEXT(ROUND(VLOOKUP('Perpetual Pricing (2)'!$D$2,XE!$M$5:$N$6,2,FALSE)*BASE!D317*VLOOKUP('Perpetual Pricing (2)'!$D$1,XE!$A:$F,6,FALSE)* (HLOOKUP($D$3,PARTNERPROGRAM!$D$7:$H$8,2,FALSE)),VLOOKUP('Perpetual Pricing (2)'!$D$1,XE!$A:$H,8,FALSE)),VLOOKUP('Perpetual Pricing (2)'!$D$1,XE!$A:$G,7,FALSE))</f>
        <v>658,00</v>
      </c>
      <c r="C99" t="str">
        <f t="shared" si="1"/>
        <v>CHF</v>
      </c>
    </row>
    <row r="100" spans="1:3">
      <c r="A100" s="42" t="str">
        <f>CONCATENATE(LEFT(BASE!E318,6),VLOOKUP('Perpetual Pricing (2)'!$D$1,XE!$A:$C,3,FALSE),MID(BASE!E318,9,1),IF('Perpetual Pricing (2)'!$D$2="Standard","S","G"),RIGHT(BASE!E318,7))</f>
        <v>GPRJ80EUPG012MZZZ</v>
      </c>
      <c r="B100" s="85" t="str">
        <f>TEXT(ROUND(VLOOKUP('Perpetual Pricing (2)'!$D$2,XE!$M$5:$N$6,2,FALSE)*BASE!D318*VLOOKUP('Perpetual Pricing (2)'!$D$1,XE!$A:$F,6,FALSE)* (HLOOKUP($D$3,PARTNERPROGRAM!$D$7:$H$8,2,FALSE)),VLOOKUP('Perpetual Pricing (2)'!$D$1,XE!$A:$H,8,FALSE)),VLOOKUP('Perpetual Pricing (2)'!$D$1,XE!$A:$G,7,FALSE))</f>
        <v>146,400</v>
      </c>
      <c r="C100" t="str">
        <f t="shared" si="1"/>
        <v>CHF</v>
      </c>
    </row>
    <row r="101" spans="1:3">
      <c r="A101" s="42" t="str">
        <f>CONCATENATE(LEFT(BASE!E319,6),VLOOKUP('Perpetual Pricing (2)'!$D$1,XE!$A:$C,3,FALSE),MID(BASE!E319,9,1),IF('Perpetual Pricing (2)'!$D$2="Standard","S","G"),RIGHT(BASE!E319,7))</f>
        <v>GULU80EUUG0100ZPZ</v>
      </c>
      <c r="B101" s="85" t="str">
        <f>TEXT(ROUND(VLOOKUP('Perpetual Pricing (2)'!$D$2,XE!$M$5:$N$6,2,FALSE)*BASE!D319*VLOOKUP('Perpetual Pricing (2)'!$D$1,XE!$A:$F,6,FALSE)* (HLOOKUP($D$3,PARTNERPROGRAM!$D$7:$H$8,2,FALSE)),VLOOKUP('Perpetual Pricing (2)'!$D$1,XE!$A:$H,8,FALSE)),VLOOKUP('Perpetual Pricing (2)'!$D$1,XE!$A:$G,7,FALSE))</f>
        <v>292,800</v>
      </c>
      <c r="C101" t="str">
        <f t="shared" si="1"/>
        <v>CHF</v>
      </c>
    </row>
    <row r="102" spans="1:3">
      <c r="A102" s="42" t="str">
        <f>CONCATENATE(LEFT(BASE!E320,6),VLOOKUP('Perpetual Pricing (2)'!$D$1,XE!$A:$C,3,FALSE),MID(BASE!E320,9,1),IF('Perpetual Pricing (2)'!$D$2="Standard","S","G"),RIGHT(BASE!E320,7))</f>
        <v>GD2580EUPG0100ZZZ</v>
      </c>
      <c r="B102" s="85" t="str">
        <f>TEXT(ROUND(VLOOKUP('Perpetual Pricing (2)'!$D$2,XE!$M$5:$N$6,2,FALSE)*BASE!D320*VLOOKUP('Perpetual Pricing (2)'!$D$1,XE!$A:$F,6,FALSE)* (HLOOKUP($D$3,PARTNERPROGRAM!$D$7:$H$8,2,FALSE)),VLOOKUP('Perpetual Pricing (2)'!$D$1,XE!$A:$H,8,FALSE)),VLOOKUP('Perpetual Pricing (2)'!$D$1,XE!$A:$G,7,FALSE))</f>
        <v>1097,200</v>
      </c>
      <c r="C102" t="str">
        <f t="shared" si="1"/>
        <v>CHF</v>
      </c>
    </row>
    <row r="103" spans="1:3">
      <c r="A103" s="42" t="str">
        <f>CONCATENATE(LEFT(BASE!E321,6),VLOOKUP('Perpetual Pricing (2)'!$D$1,XE!$A:$C,3,FALSE),MID(BASE!E321,9,1),IF('Perpetual Pricing (2)'!$D$2="Standard","S","G"),RIGHT(BASE!E321,7))</f>
        <v>GDUL80EUPG0100ZZZ</v>
      </c>
      <c r="B103" s="85" t="str">
        <f>TEXT(ROUND(VLOOKUP('Perpetual Pricing (2)'!$D$2,XE!$M$5:$N$6,2,FALSE)*BASE!D321*VLOOKUP('Perpetual Pricing (2)'!$D$1,XE!$A:$F,6,FALSE)* (HLOOKUP($D$3,PARTNERPROGRAM!$D$7:$H$8,2,FALSE)),VLOOKUP('Perpetual Pricing (2)'!$D$1,XE!$A:$H,8,FALSE)),VLOOKUP('Perpetual Pricing (2)'!$D$1,XE!$A:$G,7,FALSE))</f>
        <v>1390,00</v>
      </c>
      <c r="C103" t="str">
        <f t="shared" si="1"/>
        <v>CHF</v>
      </c>
    </row>
    <row r="104" spans="1:3">
      <c r="A104" s="42" t="str">
        <f>CONCATENATE(LEFT(BASE!E322,6),VLOOKUP('Perpetual Pricing (2)'!$D$1,XE!$A:$C,3,FALSE),MID(BASE!E322,9,1),IF('Perpetual Pricing (2)'!$D$2="Standard","S","G"),RIGHT(BASE!E322,7))</f>
        <v>GDPJ80EUPG012MZZZ</v>
      </c>
      <c r="B104" s="85" t="str">
        <f>TEXT(ROUND(VLOOKUP('Perpetual Pricing (2)'!$D$2,XE!$M$5:$N$6,2,FALSE)*BASE!D322*VLOOKUP('Perpetual Pricing (2)'!$D$1,XE!$A:$F,6,FALSE)* (HLOOKUP($D$3,PARTNERPROGRAM!$D$7:$H$8,2,FALSE)),VLOOKUP('Perpetual Pricing (2)'!$D$1,XE!$A:$H,8,FALSE)),VLOOKUP('Perpetual Pricing (2)'!$D$1,XE!$A:$G,7,FALSE))</f>
        <v>584,800</v>
      </c>
      <c r="C104" t="str">
        <f t="shared" si="1"/>
        <v>CHF</v>
      </c>
    </row>
    <row r="105" spans="1:3">
      <c r="A105" s="42" t="str">
        <f>CONCATENATE(LEFT(BASE!E323,6),VLOOKUP('Perpetual Pricing (2)'!$D$1,XE!$A:$C,3,FALSE),MID(BASE!E323,9,1),IF('Perpetual Pricing (2)'!$D$2="Standard","S","G"),RIGHT(BASE!E323,7))</f>
        <v>GDUG80EUPG0100ZPZ</v>
      </c>
      <c r="B105" s="85" t="str">
        <f>TEXT(ROUND(VLOOKUP('Perpetual Pricing (2)'!$D$2,XE!$M$5:$N$6,2,FALSE)*BASE!D323*VLOOKUP('Perpetual Pricing (2)'!$D$1,XE!$A:$F,6,FALSE)* (HLOOKUP($D$3,PARTNERPROGRAM!$D$7:$H$8,2,FALSE)),VLOOKUP('Perpetual Pricing (2)'!$D$1,XE!$A:$H,8,FALSE)),VLOOKUP('Perpetual Pricing (2)'!$D$1,XE!$A:$G,7,FALSE))</f>
        <v>292,800</v>
      </c>
      <c r="C105" t="str">
        <f t="shared" si="1"/>
        <v>CHF</v>
      </c>
    </row>
    <row r="106" spans="1:3">
      <c r="A106" s="42" t="str">
        <f>CONCATENATE(LEFT(BASE!E324,6),VLOOKUP('Perpetual Pricing (2)'!$D$1,XE!$A:$C,3,FALSE),MID(BASE!E324,9,1),IF('Perpetual Pricing (2)'!$D$2="Standard","S","G"),RIGHT(BASE!E324,7))</f>
        <v>GRD280EUPG0100ZPZ</v>
      </c>
      <c r="B106" s="85" t="str">
        <f>TEXT(ROUND(VLOOKUP('Perpetual Pricing (2)'!$D$2,XE!$M$5:$N$6,2,FALSE)*BASE!D324*VLOOKUP('Perpetual Pricing (2)'!$D$1,XE!$A:$F,6,FALSE)* (HLOOKUP($D$3,PARTNERPROGRAM!$D$7:$H$8,2,FALSE)),VLOOKUP('Perpetual Pricing (2)'!$D$1,XE!$A:$H,8,FALSE)),VLOOKUP('Perpetual Pricing (2)'!$D$1,XE!$A:$G,7,FALSE))</f>
        <v>732,00</v>
      </c>
      <c r="C106" t="str">
        <f t="shared" si="1"/>
        <v>CHF</v>
      </c>
    </row>
    <row r="107" spans="1:3">
      <c r="A107" s="42" t="str">
        <f>CONCATENATE(LEFT(BASE!E325,6),VLOOKUP('Perpetual Pricing (2)'!$D$1,XE!$A:$C,3,FALSE),MID(BASE!E325,9,1),IF('Perpetual Pricing (2)'!$D$2="Standard","S","G"),RIGHT(BASE!E325,7))</f>
        <v>GRDU80EUPG0100ZPZ</v>
      </c>
      <c r="B107" s="85" t="str">
        <f>TEXT(ROUND(VLOOKUP('Perpetual Pricing (2)'!$D$2,XE!$M$5:$N$6,2,FALSE)*BASE!D325*VLOOKUP('Perpetual Pricing (2)'!$D$1,XE!$A:$F,6,FALSE)* (HLOOKUP($D$3,PARTNERPROGRAM!$D$7:$H$8,2,FALSE)),VLOOKUP('Perpetual Pricing (2)'!$D$1,XE!$A:$H,8,FALSE)),VLOOKUP('Perpetual Pricing (2)'!$D$1,XE!$A:$G,7,FALSE))</f>
        <v>732,00</v>
      </c>
      <c r="C107" t="str">
        <f t="shared" si="1"/>
        <v>CHF</v>
      </c>
    </row>
    <row r="108" spans="1:3">
      <c r="A108" s="42" t="str">
        <f>CONCATENATE(LEFT(BASE!E331,6),VLOOKUP('Perpetual Pricing (2)'!$D$1,XE!$A:$C,3,FALSE),MID(BASE!E331,9,1),IF('Perpetual Pricing (2)'!$D$2="Standard","S","G"),RIGHT(BASE!E331,7))</f>
        <v>PDSK00EUSG0100ZZZ</v>
      </c>
      <c r="B108" s="85" t="str">
        <f>TEXT(ROUND(VLOOKUP('Perpetual Pricing (2)'!$D$2,XE!$M$5:$N$6,2,FALSE)*BASE!D331*VLOOKUP('Perpetual Pricing (2)'!$D$1,XE!$A:$F,6,FALSE)* (HLOOKUP($D$3,PARTNERPROGRAM!$D$7:$H$8,2,FALSE)),VLOOKUP('Perpetual Pricing (2)'!$D$1,XE!$A:$H,8,FALSE)),VLOOKUP('Perpetual Pricing (2)'!$D$1,XE!$A:$G,7,FALSE))</f>
        <v>36,600</v>
      </c>
      <c r="C108" t="str">
        <f t="shared" si="1"/>
        <v>CHF</v>
      </c>
    </row>
    <row r="109" spans="1:3">
      <c r="A109" s="42" t="str">
        <f>CONCATENATE(LEFT(BASE!E332,6),VLOOKUP('Perpetual Pricing (2)'!$D$1,XE!$A:$C,3,FALSE),MID(BASE!E332,9,1),IF('Perpetual Pricing (2)'!$D$2="Standard","S","G"),RIGHT(BASE!E332,7))</f>
        <v>PDSK00EUSG0500ZZZ</v>
      </c>
      <c r="B109" s="85" t="str">
        <f>TEXT(ROUND(VLOOKUP('Perpetual Pricing (2)'!$D$2,XE!$M$5:$N$6,2,FALSE)*BASE!D332*VLOOKUP('Perpetual Pricing (2)'!$D$1,XE!$A:$F,6,FALSE)* (HLOOKUP($D$3,PARTNERPROGRAM!$D$7:$H$8,2,FALSE)),VLOOKUP('Perpetual Pricing (2)'!$D$1,XE!$A:$H,8,FALSE)),VLOOKUP('Perpetual Pricing (2)'!$D$1,XE!$A:$G,7,FALSE))</f>
        <v>164,700</v>
      </c>
      <c r="C109" t="str">
        <f t="shared" si="1"/>
        <v>CHF</v>
      </c>
    </row>
    <row r="110" spans="1:3" ht="12.75" customHeight="1">
      <c r="A110" s="42" t="str">
        <f>CONCATENATE(LEFT(BASE!E333,6),VLOOKUP('Perpetual Pricing (2)'!$D$1,XE!$A:$C,3,FALSE),MID(BASE!E333,9,1),IF('Perpetual Pricing (2)'!$D$2="Standard","S","G"),RIGHT(BASE!E333,7))</f>
        <v>PENT00EUSG0100ZZZ</v>
      </c>
      <c r="B110" s="85" t="str">
        <f>TEXT(ROUND(VLOOKUP('Perpetual Pricing (2)'!$D$2,XE!$M$5:$N$6,2,FALSE)*BASE!D333*VLOOKUP('Perpetual Pricing (2)'!$D$1,XE!$A:$F,6,FALSE)* (HLOOKUP($D$3,PARTNERPROGRAM!$D$7:$H$8,2,FALSE)),VLOOKUP('Perpetual Pricing (2)'!$D$1,XE!$A:$H,8,FALSE)),VLOOKUP('Perpetual Pricing (2)'!$D$1,XE!$A:$G,7,FALSE))</f>
        <v>219,600</v>
      </c>
      <c r="C110" t="str">
        <f t="shared" si="1"/>
        <v>CHF</v>
      </c>
    </row>
    <row r="111" spans="1:3">
      <c r="A111" s="42" t="str">
        <f>CONCATENATE(LEFT(BASE!E334,6),VLOOKUP('Perpetual Pricing (2)'!$D$1,XE!$A:$C,3,FALSE),MID(BASE!E334,9,1),IF('Perpetual Pricing (2)'!$D$2="Standard","S","G"),RIGHT(BASE!E334,7))</f>
        <v>PENT00EUSG0500ZZZ</v>
      </c>
      <c r="B111" s="85" t="str">
        <f>TEXT(ROUND(VLOOKUP('Perpetual Pricing (2)'!$D$2,XE!$M$5:$N$6,2,FALSE)*BASE!D334*VLOOKUP('Perpetual Pricing (2)'!$D$1,XE!$A:$F,6,FALSE)* (HLOOKUP($D$3,PARTNERPROGRAM!$D$7:$H$8,2,FALSE)),VLOOKUP('Perpetual Pricing (2)'!$D$1,XE!$A:$H,8,FALSE)),VLOOKUP('Perpetual Pricing (2)'!$D$1,XE!$A:$G,7,FALSE))</f>
        <v>1006,500</v>
      </c>
      <c r="C111" t="str">
        <f t="shared" si="1"/>
        <v>CHF</v>
      </c>
    </row>
    <row r="112" spans="1:3">
      <c r="A112" s="42" t="str">
        <f>CONCATENATE(LEFT(BASE!E335,6),VLOOKUP('Perpetual Pricing (2)'!$D$1,XE!$A:$C,3,FALSE),MID(BASE!E335,9,1),IF('Perpetual Pricing (2)'!$D$2="Standard","S","G"),RIGHT(BASE!E335,7))</f>
        <v>PENT00EUSG1000ZZZ</v>
      </c>
      <c r="B112" s="85" t="str">
        <f>TEXT(ROUND(VLOOKUP('Perpetual Pricing (2)'!$D$2,XE!$M$5:$N$6,2,FALSE)*BASE!D335*VLOOKUP('Perpetual Pricing (2)'!$D$1,XE!$A:$F,6,FALSE)* (HLOOKUP($D$3,PARTNERPROGRAM!$D$7:$H$8,2,FALSE)),VLOOKUP('Perpetual Pricing (2)'!$D$1,XE!$A:$H,8,FALSE)),VLOOKUP('Perpetual Pricing (2)'!$D$1,XE!$A:$G,7,FALSE))</f>
        <v>1829,900</v>
      </c>
      <c r="C112" t="str">
        <f t="shared" si="1"/>
        <v>CHF</v>
      </c>
    </row>
    <row r="113" spans="1:3">
      <c r="A113" s="42" t="str">
        <f>CONCATENATE(LEFT(BASE!E342,6),VLOOKUP('Perpetual Pricing (2)'!$D$1,XE!$A:$C,3,FALSE),MID(BASE!E342,9,1),IF('Perpetual Pricing (2)'!$D$2="SRP","S","S"),RIGHT(BASE!E342,7))</f>
        <v>SSPS50EUXS0100ZZZ</v>
      </c>
      <c r="B113" s="85" t="str">
        <f>IF('Perpetual Pricing (2)'!$D$1 ="Japanese Yen",TEXT(2000,VLOOKUP('Perpetual Pricing (2)'!$D$1,XE!$A:$G,7,FALSE)), TEXT(ROUND(BASE!D342*VLOOKUP('Perpetual Pricing (2)'!$D$1,XE!$A:$F,6,FALSE),VLOOKUP('Perpetual Pricing (2)'!$D$1,XE!$A:$H,8,FALSE)),VLOOKUP('Perpetual Pricing (2)'!$D$1,XE!$A:$G,7,FALSE)))</f>
        <v>4.90</v>
      </c>
      <c r="C113" t="str">
        <f t="shared" si="1"/>
        <v>CHF</v>
      </c>
    </row>
    <row r="114" spans="1:3">
      <c r="A114" s="42" t="str">
        <f>CONCATENATE(LEFT(BASE!E343,6),VLOOKUP('Perpetual Pricing (2)'!$D$1,XE!$A:$C,3,FALSE),MID(BASE!E343,9,1),IF('Perpetual Pricing (2)'!$D$2="SRP","S","S"),RIGHT(BASE!E343,7))</f>
        <v>DSPD50EUXS0100ZZZ</v>
      </c>
      <c r="B114" s="85" t="str">
        <f>IF('Perpetual Pricing (2)'!$D$1 ="Japanese Yen",TEXT(2000,VLOOKUP('Perpetual Pricing (2)'!$D$1,XE!$A:$G,7,FALSE)), TEXT(ROUND(BASE!D343*VLOOKUP('Perpetual Pricing (2)'!$D$1,XE!$A:$F,6,FALSE),VLOOKUP('Perpetual Pricing (2)'!$D$1,XE!$A:$H,8,FALSE)),VLOOKUP('Perpetual Pricing (2)'!$D$1,XE!$A:$G,7,FALSE)))</f>
        <v>4.90</v>
      </c>
      <c r="C114" t="str">
        <f t="shared" si="1"/>
        <v>CHF</v>
      </c>
    </row>
    <row r="115" spans="1:3" ht="12.75" customHeight="1">
      <c r="A115" s="42" t="str">
        <f>CONCATENATE(LEFT(BASE!E344,6),VLOOKUP('Perpetual Pricing (2)'!$D$1,XE!$A:$C,3,FALSE),MID(BASE!E344,9,1),IF('Perpetual Pricing (2)'!$D$2="SRP","S","S"),RIGHT(BASE!E344,7))</f>
        <v>BSBS50EUXS0100ZZZ</v>
      </c>
      <c r="B115" s="85" t="str">
        <f>IF('Perpetual Pricing (2)'!$D$1 ="Japanese Yen",TEXT(2000,VLOOKUP('Perpetual Pricing (2)'!$D$1,XE!$A:$G,7,FALSE)), TEXT(ROUND(BASE!D344*VLOOKUP('Perpetual Pricing (2)'!$D$1,XE!$A:$F,6,FALSE),VLOOKUP('Perpetual Pricing (2)'!$D$1,XE!$A:$H,8,FALSE)),VLOOKUP('Perpetual Pricing (2)'!$D$1,XE!$A:$G,7,FALSE)))</f>
        <v>4.90</v>
      </c>
      <c r="C115" t="str">
        <f t="shared" si="1"/>
        <v>CHF</v>
      </c>
    </row>
    <row r="116" spans="1:3" ht="12.75" customHeight="1">
      <c r="A116" s="42" t="str">
        <f>CONCATENATE(LEFT(BASE!E345,6),VLOOKUP('Perpetual Pricing (2)'!$D$1,XE!$A:$C,3,FALSE),MID(BASE!E345,9,1),IF('Perpetual Pricing (2)'!$D$2="SRP","S","S"),RIGHT(BASE!E345,7))</f>
        <v>GULM60EUXS0100ZZZ</v>
      </c>
      <c r="B116" s="85" t="str">
        <f>IF('Perpetual Pricing (2)'!$D$1 ="Japanese Yen",TEXT(2000,VLOOKUP('Perpetual Pricing (2)'!$D$1,XE!$A:$G,7,FALSE)), TEXT(ROUND(BASE!D345*VLOOKUP('Perpetual Pricing (2)'!$D$1,XE!$A:$F,6,FALSE),VLOOKUP('Perpetual Pricing (2)'!$D$1,XE!$A:$H,8,FALSE)),VLOOKUP('Perpetual Pricing (2)'!$D$1,XE!$A:$G,7,FALSE)))</f>
        <v>4.90</v>
      </c>
      <c r="C116" t="str">
        <f t="shared" si="1"/>
        <v>CHF</v>
      </c>
    </row>
    <row r="117" spans="1:3">
      <c r="A117" s="42" t="str">
        <f>CONCATENATE(LEFT(BASE!E352,6),VLOOKUP('Perpetual Pricing (2)'!$D$1,XE!$A:$C,3,FALSE),MID(BASE!E352,9,1),IF('Perpetual Pricing (2)'!$D$2="Standard","S","G"),RIGHT(BASE!E352,7))</f>
        <v>CSST70EUPG0100ZZN</v>
      </c>
      <c r="B117" s="85" t="str">
        <f>TEXT(ROUND(VLOOKUP('Perpetual Pricing (2)'!$D$2,XE!$M$5:$N$6,2,FALSE)*BASE!D352*VLOOKUP('Perpetual Pricing (2)'!$D$1,XE!$A:$F,6,FALSE)* (HLOOKUP($D$3,PARTNERPROGRAM!$D$7:$H$8,2,FALSE)),VLOOKUP('Perpetual Pricing (2)'!$D$1,XE!$A:$H,8,FALSE)),VLOOKUP('Perpetual Pricing (2)'!$D$1,XE!$A:$G,7,FALSE))</f>
        <v>218,900</v>
      </c>
      <c r="C117" t="str">
        <f t="shared" si="1"/>
        <v>CHF</v>
      </c>
    </row>
    <row r="118" spans="1:3">
      <c r="A118" s="42" t="str">
        <f>CONCATENATE(LEFT(BASE!E353,6),VLOOKUP('Perpetual Pricing (2)'!$D$1,XE!$A:$C,3,FALSE),MID(BASE!E353,9,1),IF('Perpetual Pricing (2)'!$D$2="Standard","S","G"),RIGHT(BASE!E353,7))</f>
        <v>CSST70EUPG0100ZZO</v>
      </c>
      <c r="B118" s="85" t="str">
        <f>TEXT(ROUND(VLOOKUP('Perpetual Pricing (2)'!$D$2,XE!$M$5:$N$6,2,FALSE)*BASE!D353*VLOOKUP('Perpetual Pricing (2)'!$D$1,XE!$A:$F,6,FALSE)* (HLOOKUP($D$3,PARTNERPROGRAM!$D$7:$H$8,2,FALSE)),VLOOKUP('Perpetual Pricing (2)'!$D$1,XE!$A:$H,8,FALSE)),VLOOKUP('Perpetual Pricing (2)'!$D$1,XE!$A:$G,7,FALSE))</f>
        <v>199,200</v>
      </c>
      <c r="C118" t="str">
        <f t="shared" si="1"/>
        <v>CHF</v>
      </c>
    </row>
    <row r="119" spans="1:3">
      <c r="A119" s="42" t="str">
        <f>CONCATENATE(LEFT(BASE!E354,6),VLOOKUP('Perpetual Pricing (2)'!$D$1,XE!$A:$C,3,FALSE),MID(BASE!E354,9,1),IF('Perpetual Pricing (2)'!$D$2="Standard","S","G"),RIGHT(BASE!E354,7))</f>
        <v>CSST70EUPG0100ZZP</v>
      </c>
      <c r="B119" s="85" t="str">
        <f>TEXT(ROUND(VLOOKUP('Perpetual Pricing (2)'!$D$2,XE!$M$5:$N$6,2,FALSE)*BASE!D354*VLOOKUP('Perpetual Pricing (2)'!$D$1,XE!$A:$F,6,FALSE)* (HLOOKUP($D$3,PARTNERPROGRAM!$D$7:$H$8,2,FALSE)),VLOOKUP('Perpetual Pricing (2)'!$D$1,XE!$A:$H,8,FALSE)),VLOOKUP('Perpetual Pricing (2)'!$D$1,XE!$A:$G,7,FALSE))</f>
        <v>192,200</v>
      </c>
      <c r="C119" t="str">
        <f t="shared" si="1"/>
        <v>CHF</v>
      </c>
    </row>
    <row r="120" spans="1:3">
      <c r="A120" s="42" t="str">
        <f>CONCATENATE(LEFT(BASE!G15,6),VLOOKUP('Perpetual Pricing (2)'!$D$1,XE!$A:$C,3,FALSE),MID(BASE!G15,9,1),IF('Perpetual Pricing (2)'!$D$2="Standard","S","G"),RIGHT(BASE!G15,7))</f>
        <v>XSPX00EUUG0100ZZZ</v>
      </c>
      <c r="B120" s="85" t="str">
        <f>TEXT(ROUND(VLOOKUP('Perpetual Pricing (2)'!$D$2,XE!$M$5:$N$6,2,FALSE)*BASE!F15*VLOOKUP('Perpetual Pricing (2)'!$D$1,XE!$A:$F,6,FALSE)* (HLOOKUP($D$3,PARTNERPROGRAM!$D$7:$H$8,2,FALSE)),VLOOKUP('Perpetual Pricing (2)'!$D$1,XE!$A:$H,8,FALSE)),VLOOKUP('Perpetual Pricing (2)'!$D$1,XE!$A:$G,7,FALSE))</f>
        <v>400,800</v>
      </c>
      <c r="C120" t="str">
        <f t="shared" si="1"/>
        <v>CHF</v>
      </c>
    </row>
    <row r="121" spans="1:3">
      <c r="A121" s="42" t="str">
        <f>CONCATENATE(LEFT(BASE!G16,6),VLOOKUP('Perpetual Pricing (2)'!$D$1,XE!$A:$C,3,FALSE),MID(BASE!G16,9,1),IF('Perpetual Pricing (2)'!$D$2="Standard","S","G"),RIGHT(BASE!G16,7))</f>
        <v>XSPX00EUUG0100ZZA</v>
      </c>
      <c r="B121" s="85" t="str">
        <f>TEXT(ROUND(VLOOKUP('Perpetual Pricing (2)'!$D$2,XE!$M$5:$N$6,2,FALSE)*BASE!F16*VLOOKUP('Perpetual Pricing (2)'!$D$1,XE!$A:$F,6,FALSE)* (HLOOKUP($D$3,PARTNERPROGRAM!$D$7:$H$8,2,FALSE)),VLOOKUP('Perpetual Pricing (2)'!$D$1,XE!$A:$H,8,FALSE)),VLOOKUP('Perpetual Pricing (2)'!$D$1,XE!$A:$G,7,FALSE))</f>
        <v>364,700</v>
      </c>
      <c r="C121" t="str">
        <f t="shared" si="1"/>
        <v>CHF</v>
      </c>
    </row>
    <row r="122" spans="1:3">
      <c r="A122" s="42" t="str">
        <f>CONCATENATE(LEFT(BASE!G17,6),VLOOKUP('Perpetual Pricing (2)'!$D$1,XE!$A:$C,3,FALSE),MID(BASE!G17,9,1),IF('Perpetual Pricing (2)'!$D$2="Standard","S","G"),RIGHT(BASE!G17,7))</f>
        <v>XSPX00EUUG0100ZZB</v>
      </c>
      <c r="B122" s="85" t="str">
        <f>TEXT(ROUND(VLOOKUP('Perpetual Pricing (2)'!$D$2,XE!$M$5:$N$6,2,FALSE)*BASE!F17*VLOOKUP('Perpetual Pricing (2)'!$D$1,XE!$A:$F,6,FALSE)* (HLOOKUP($D$3,PARTNERPROGRAM!$D$7:$H$8,2,FALSE)),VLOOKUP('Perpetual Pricing (2)'!$D$1,XE!$A:$H,8,FALSE)),VLOOKUP('Perpetual Pricing (2)'!$D$1,XE!$A:$G,7,FALSE))</f>
        <v>307,400</v>
      </c>
      <c r="C122" t="str">
        <f t="shared" si="1"/>
        <v>CHF</v>
      </c>
    </row>
    <row r="123" spans="1:3">
      <c r="A123" s="42" t="str">
        <f>CONCATENATE(LEFT(BASE!G18,6),VLOOKUP('Perpetual Pricing (2)'!$D$1,XE!$A:$C,3,FALSE),MID(BASE!G18,9,1),IF('Perpetual Pricing (2)'!$D$2="Standard","S","G"),RIGHT(BASE!G18,7))</f>
        <v>XSPX00EUUG0100ZZC</v>
      </c>
      <c r="B123" s="85" t="str">
        <f>TEXT(ROUND(VLOOKUP('Perpetual Pricing (2)'!$D$2,XE!$M$5:$N$6,2,FALSE)*BASE!F18*VLOOKUP('Perpetual Pricing (2)'!$D$1,XE!$A:$F,6,FALSE)* (HLOOKUP($D$3,PARTNERPROGRAM!$D$7:$H$8,2,FALSE)),VLOOKUP('Perpetual Pricing (2)'!$D$1,XE!$A:$H,8,FALSE)),VLOOKUP('Perpetual Pricing (2)'!$D$1,XE!$A:$G,7,FALSE))</f>
        <v>249,700</v>
      </c>
      <c r="C123" t="str">
        <f t="shared" si="1"/>
        <v>CHF</v>
      </c>
    </row>
    <row r="124" spans="1:3">
      <c r="A124" s="42" t="str">
        <f>CONCATENATE(LEFT(BASE!G26,6),VLOOKUP('Perpetual Pricing (2)'!$D$1,XE!$A:$C,3,FALSE),MID(BASE!G26,9,1),IF('Perpetual Pricing (2)'!$D$2="Standard","S","G"),RIGHT(BASE!G26,7))</f>
        <v>XSXW00EUUG0100ZZZ</v>
      </c>
      <c r="B124" s="85" t="str">
        <f>TEXT(ROUND(VLOOKUP('Perpetual Pricing (2)'!$D$2,XE!$M$5:$N$6,2,FALSE)*BASE!F26*VLOOKUP('Perpetual Pricing (2)'!$D$1,XE!$A:$F,6,FALSE)* (HLOOKUP($D$3,PARTNERPROGRAM!$D$7:$H$8,2,FALSE)),VLOOKUP('Perpetual Pricing (2)'!$D$1,XE!$A:$H,8,FALSE)),VLOOKUP('Perpetual Pricing (2)'!$D$1,XE!$A:$G,7,FALSE))</f>
        <v>400,800</v>
      </c>
      <c r="C124" t="str">
        <f t="shared" si="1"/>
        <v>CHF</v>
      </c>
    </row>
    <row r="125" spans="1:3">
      <c r="A125" s="42" t="str">
        <f>CONCATENATE(LEFT(BASE!G27,6),VLOOKUP('Perpetual Pricing (2)'!$D$1,XE!$A:$C,3,FALSE),MID(BASE!G27,9,1),IF('Perpetual Pricing (2)'!$D$2="Standard","S","G"),RIGHT(BASE!G27,7))</f>
        <v>XSXW00EUUG0100ZZA</v>
      </c>
      <c r="B125" s="85" t="str">
        <f>TEXT(ROUND(VLOOKUP('Perpetual Pricing (2)'!$D$2,XE!$M$5:$N$6,2,FALSE)*BASE!F27*VLOOKUP('Perpetual Pricing (2)'!$D$1,XE!$A:$F,6,FALSE)* (HLOOKUP($D$3,PARTNERPROGRAM!$D$7:$H$8,2,FALSE)),VLOOKUP('Perpetual Pricing (2)'!$D$1,XE!$A:$H,8,FALSE)),VLOOKUP('Perpetual Pricing (2)'!$D$1,XE!$A:$G,7,FALSE))</f>
        <v>364,700</v>
      </c>
      <c r="C125" t="str">
        <f t="shared" si="1"/>
        <v>CHF</v>
      </c>
    </row>
    <row r="126" spans="1:3">
      <c r="A126" s="42" t="str">
        <f>CONCATENATE(LEFT(BASE!G28,6),VLOOKUP('Perpetual Pricing (2)'!$D$1,XE!$A:$C,3,FALSE),MID(BASE!G28,9,1),IF('Perpetual Pricing (2)'!$D$2="Standard","S","G"),RIGHT(BASE!G28,7))</f>
        <v>XSXW00EUUG0100ZZB</v>
      </c>
      <c r="B126" s="85" t="str">
        <f>TEXT(ROUND(VLOOKUP('Perpetual Pricing (2)'!$D$2,XE!$M$5:$N$6,2,FALSE)*BASE!F28*VLOOKUP('Perpetual Pricing (2)'!$D$1,XE!$A:$F,6,FALSE)* (HLOOKUP($D$3,PARTNERPROGRAM!$D$7:$H$8,2,FALSE)),VLOOKUP('Perpetual Pricing (2)'!$D$1,XE!$A:$H,8,FALSE)),VLOOKUP('Perpetual Pricing (2)'!$D$1,XE!$A:$G,7,FALSE))</f>
        <v>307,400</v>
      </c>
      <c r="C126" t="str">
        <f t="shared" si="1"/>
        <v>CHF</v>
      </c>
    </row>
    <row r="127" spans="1:3">
      <c r="A127" s="42" t="str">
        <f>CONCATENATE(LEFT(BASE!G29,6),VLOOKUP('Perpetual Pricing (2)'!$D$1,XE!$A:$C,3,FALSE),MID(BASE!G29,9,1),IF('Perpetual Pricing (2)'!$D$2="Standard","S","G"),RIGHT(BASE!G29,7))</f>
        <v>XSXW00EUUG0100ZZC</v>
      </c>
      <c r="B127" s="85" t="str">
        <f>TEXT(ROUND(VLOOKUP('Perpetual Pricing (2)'!$D$2,XE!$M$5:$N$6,2,FALSE)*BASE!F29*VLOOKUP('Perpetual Pricing (2)'!$D$1,XE!$A:$F,6,FALSE)* (HLOOKUP($D$3,PARTNERPROGRAM!$D$7:$H$8,2,FALSE)),VLOOKUP('Perpetual Pricing (2)'!$D$1,XE!$A:$H,8,FALSE)),VLOOKUP('Perpetual Pricing (2)'!$D$1,XE!$A:$G,7,FALSE))</f>
        <v>249,700</v>
      </c>
      <c r="C127" t="str">
        <f t="shared" si="1"/>
        <v>CHF</v>
      </c>
    </row>
    <row r="128" spans="1:3">
      <c r="A128" s="42" t="str">
        <f>CONCATENATE(LEFT(BASE!G65,6),VLOOKUP('Perpetual Pricing (2)'!$D$1,XE!$A:$C,3,FALSE),MID(BASE!G65,9,1),IF('Perpetual Pricing (2)'!$D$2="Standard","S","G"),RIGHT(BASE!G65,7))</f>
        <v>QBUS00EUUG0100ZZZ</v>
      </c>
      <c r="B128" s="85" t="str">
        <f>TEXT(ROUND(VLOOKUP('Perpetual Pricing (2)'!$D$2,XE!$M$5:$N$6,2,FALSE)*BASE!F65*VLOOKUP('Perpetual Pricing (2)'!$D$1,XE!$A:$F,6,FALSE)* (HLOOKUP($D$3,PARTNERPROGRAM!$D$7:$H$8,2,FALSE)),VLOOKUP('Perpetual Pricing (2)'!$D$1,XE!$A:$H,8,FALSE)),VLOOKUP('Perpetual Pricing (2)'!$D$1,XE!$A:$G,7,FALSE))</f>
        <v>200,900</v>
      </c>
      <c r="C128" t="str">
        <f t="shared" si="1"/>
        <v>CHF</v>
      </c>
    </row>
    <row r="129" spans="1:3">
      <c r="A129" s="42" t="str">
        <f>CONCATENATE(LEFT(BASE!G66,6),VLOOKUP('Perpetual Pricing (2)'!$D$1,XE!$A:$C,3,FALSE),MID(BASE!G66,9,1),IF('Perpetual Pricing (2)'!$D$2="Standard","S","G"),RIGHT(BASE!G66,7))</f>
        <v>QSXP00EUUG0200ZZZ</v>
      </c>
      <c r="B129" s="85" t="str">
        <f>TEXT(ROUND(VLOOKUP('Perpetual Pricing (2)'!$D$2,XE!$M$5:$N$6,2,FALSE)*BASE!F66*VLOOKUP('Perpetual Pricing (2)'!$D$1,XE!$A:$F,6,FALSE)* (HLOOKUP($D$3,PARTNERPROGRAM!$D$7:$H$8,2,FALSE)),VLOOKUP('Perpetual Pricing (2)'!$D$1,XE!$A:$H,8,FALSE)),VLOOKUP('Perpetual Pricing (2)'!$D$1,XE!$A:$G,7,FALSE))</f>
        <v>601,700</v>
      </c>
      <c r="C129" t="str">
        <f t="shared" si="1"/>
        <v>CHF</v>
      </c>
    </row>
    <row r="130" spans="1:3">
      <c r="A130" s="42" t="str">
        <f>CONCATENATE(LEFT(BASE!G83,6),VLOOKUP('Perpetual Pricing (2)'!$D$1,XE!$A:$C,3,FALSE),MID(BASE!G83,9,1),IF('Perpetual Pricing (2)'!$D$2="Standard","S","G"),RIGHT(BASE!G83,7))</f>
        <v>KXDW00EUUG0100ZZZ</v>
      </c>
      <c r="B130" s="85" t="str">
        <f>TEXT(ROUND(VLOOKUP('Perpetual Pricing (2)'!$D$2,XE!$M$5:$N$6,2,FALSE)*BASE!F83*VLOOKUP('Perpetual Pricing (2)'!$D$1,XE!$A:$F,6,FALSE)* (HLOOKUP($D$3,PARTNERPROGRAM!$D$7:$H$8,2,FALSE)),VLOOKUP('Perpetual Pricing (2)'!$D$1,XE!$A:$H,8,FALSE)),VLOOKUP('Perpetual Pricing (2)'!$D$1,XE!$A:$G,7,FALSE))</f>
        <v>36,600</v>
      </c>
      <c r="C130" t="str">
        <f t="shared" si="1"/>
        <v>CHF</v>
      </c>
    </row>
    <row r="131" spans="1:3">
      <c r="A131" s="42" t="str">
        <f>CONCATENATE(LEFT(BASE!G84,6),VLOOKUP('Perpetual Pricing (2)'!$D$1,XE!$A:$C,3,FALSE),MID(BASE!G84,9,1),IF('Perpetual Pricing (2)'!$D$2="Standard","S","G"),RIGHT(BASE!G84,7))</f>
        <v>KXDW00EUUG0100ZZA</v>
      </c>
      <c r="B131" s="85" t="str">
        <f>TEXT(ROUND(VLOOKUP('Perpetual Pricing (2)'!$D$2,XE!$M$5:$N$6,2,FALSE)*BASE!F84*VLOOKUP('Perpetual Pricing (2)'!$D$1,XE!$A:$F,6,FALSE)* (HLOOKUP($D$3,PARTNERPROGRAM!$D$7:$H$8,2,FALSE)),VLOOKUP('Perpetual Pricing (2)'!$D$1,XE!$A:$H,8,FALSE)),VLOOKUP('Perpetual Pricing (2)'!$D$1,XE!$A:$G,7,FALSE))</f>
        <v>33,300</v>
      </c>
      <c r="C131" t="str">
        <f t="shared" si="1"/>
        <v>CHF</v>
      </c>
    </row>
    <row r="132" spans="1:3">
      <c r="A132" s="42" t="str">
        <f>CONCATENATE(LEFT(BASE!G85,6),VLOOKUP('Perpetual Pricing (2)'!$D$1,XE!$A:$C,3,FALSE),MID(BASE!G85,9,1),IF('Perpetual Pricing (2)'!$D$2="Standard","S","G"),RIGHT(BASE!G85,7))</f>
        <v>KXDW00EUUG0100ZZB</v>
      </c>
      <c r="B132" s="85" t="str">
        <f>TEXT(ROUND(VLOOKUP('Perpetual Pricing (2)'!$D$2,XE!$M$5:$N$6,2,FALSE)*BASE!F85*VLOOKUP('Perpetual Pricing (2)'!$D$1,XE!$A:$F,6,FALSE)* (HLOOKUP($D$3,PARTNERPROGRAM!$D$7:$H$8,2,FALSE)),VLOOKUP('Perpetual Pricing (2)'!$D$1,XE!$A:$H,8,FALSE)),VLOOKUP('Perpetual Pricing (2)'!$D$1,XE!$A:$G,7,FALSE))</f>
        <v>28,100</v>
      </c>
      <c r="C132" t="str">
        <f t="shared" si="1"/>
        <v>CHF</v>
      </c>
    </row>
    <row r="133" spans="1:3">
      <c r="A133" s="42" t="str">
        <f>CONCATENATE(LEFT(BASE!G86,6),VLOOKUP('Perpetual Pricing (2)'!$D$1,XE!$A:$C,3,FALSE),MID(BASE!G86,9,1),IF('Perpetual Pricing (2)'!$D$2="Standard","S","G"),RIGHT(BASE!G86,7))</f>
        <v>KXDW00EUUG0100ZZC</v>
      </c>
      <c r="B133" s="85" t="str">
        <f>TEXT(ROUND(VLOOKUP('Perpetual Pricing (2)'!$D$2,XE!$M$5:$N$6,2,FALSE)*BASE!F86*VLOOKUP('Perpetual Pricing (2)'!$D$1,XE!$A:$F,6,FALSE)* (HLOOKUP($D$3,PARTNERPROGRAM!$D$7:$H$8,2,FALSE)),VLOOKUP('Perpetual Pricing (2)'!$D$1,XE!$A:$H,8,FALSE)),VLOOKUP('Perpetual Pricing (2)'!$D$1,XE!$A:$G,7,FALSE))</f>
        <v>22,800</v>
      </c>
      <c r="C133" t="str">
        <f t="shared" si="1"/>
        <v>CHF</v>
      </c>
    </row>
    <row r="134" spans="1:3">
      <c r="A134" s="42" t="str">
        <f>CONCATENATE(LEFT(BASE!G87,6),VLOOKUP('Perpetual Pricing (2)'!$D$1,XE!$A:$C,3,FALSE),MID(BASE!G87,9,1),IF('Perpetual Pricing (2)'!$D$2="Standard","S","G"),RIGHT(BASE!G87,7))</f>
        <v>KXDW00EUUG0300ZZZ</v>
      </c>
      <c r="B134" s="222" t="str">
        <f>TEXT(ROUND(VLOOKUP('Perpetual Pricing (2)'!$D$2,XE!$M$5:$N$6,2,FALSE)*BASE!F87*VLOOKUP('Perpetual Pricing (2)'!$D$1,XE!$A:$F,6,FALSE)* (HLOOKUP($D$3,PARTNERPROGRAM!$D$7:$H$8,2,FALSE)),VLOOKUP('Perpetual Pricing (2)'!$D$1,XE!$A:$H,8,FALSE)),VLOOKUP('Perpetual Pricing (2)'!$D$1,XE!$A:$G,7,FALSE))</f>
        <v>85,600</v>
      </c>
      <c r="C134" t="str">
        <f t="shared" si="1"/>
        <v>CHF</v>
      </c>
    </row>
    <row r="135" spans="1:3">
      <c r="A135" s="42" t="str">
        <f>CONCATENATE(LEFT(BASE!G109,6),VLOOKUP('Perpetual Pricing (2)'!$D$1,XE!$A:$C,3,FALSE),MID(BASE!G109,9,1),IF('Perpetual Pricing (2)'!$D$2="Standard","S","G"),RIGHT(BASE!G109,7))</f>
        <v>XESS00EUUG0100ZZZ</v>
      </c>
      <c r="B135" s="85" t="str">
        <f>TEXT(ROUND(VLOOKUP('Perpetual Pricing (2)'!$D$2,XE!$M$5:$N$6,2,FALSE)*BASE!F109*VLOOKUP('Perpetual Pricing (2)'!$D$1,XE!$A:$F,6,FALSE)* (HLOOKUP($D$3,PARTNERPROGRAM!$D$7:$H$8,2,FALSE)),VLOOKUP('Perpetual Pricing (2)'!$D$1,XE!$A:$H,8,FALSE)),VLOOKUP('Perpetual Pricing (2)'!$D$1,XE!$A:$G,7,FALSE))</f>
        <v>583,700</v>
      </c>
      <c r="C135" t="str">
        <f t="shared" si="1"/>
        <v>CHF</v>
      </c>
    </row>
    <row r="136" spans="1:3">
      <c r="A136" s="42" t="str">
        <f>CONCATENATE(LEFT(BASE!G110,6),VLOOKUP('Perpetual Pricing (2)'!$D$1,XE!$A:$C,3,FALSE),MID(BASE!G110,9,1),IF('Perpetual Pricing (2)'!$D$2="Standard","S","G"),RIGHT(BASE!G110,7))</f>
        <v>XSTD00EUUG0100ZZZ</v>
      </c>
      <c r="B136" s="85" t="str">
        <f>TEXT(ROUND(VLOOKUP('Perpetual Pricing (2)'!$D$2,XE!$M$5:$N$6,2,FALSE)*BASE!F110*VLOOKUP('Perpetual Pricing (2)'!$D$1,XE!$A:$F,6,FALSE)* (HLOOKUP($D$3,PARTNERPROGRAM!$D$7:$H$8,2,FALSE)),VLOOKUP('Perpetual Pricing (2)'!$D$1,XE!$A:$H,8,FALSE)),VLOOKUP('Perpetual Pricing (2)'!$D$1,XE!$A:$G,7,FALSE))</f>
        <v>620,300</v>
      </c>
      <c r="C136" t="str">
        <f t="shared" ref="C136:C199" si="2">RIGHT($B$6,3)</f>
        <v>CHF</v>
      </c>
    </row>
    <row r="137" spans="1:3">
      <c r="A137" s="42" t="str">
        <f>CONCATENATE(LEFT(BASE!G132,6),VLOOKUP('Perpetual Pricing (2)'!$D$1,XE!$A:$C,3,FALSE),MID(BASE!G132,9,1),IF('Perpetual Pricing (2)'!$D$2="Standard","S","G"),RIGHT(BASE!G132,7))</f>
        <v>XSVS00EUUG0100ZZZ</v>
      </c>
      <c r="B137" s="85" t="str">
        <f>TEXT(ROUND(VLOOKUP('Perpetual Pricing (2)'!$D$2,XE!$M$5:$N$6,2,FALSE)*BASE!F132*VLOOKUP('Perpetual Pricing (2)'!$D$1,XE!$A:$F,6,FALSE)* (HLOOKUP($D$3,PARTNERPROGRAM!$D$7:$H$8,2,FALSE)),VLOOKUP('Perpetual Pricing (2)'!$D$1,XE!$A:$H,8,FALSE)),VLOOKUP('Perpetual Pricing (2)'!$D$1,XE!$A:$G,7,FALSE))</f>
        <v>144,600</v>
      </c>
      <c r="C137" t="str">
        <f t="shared" si="2"/>
        <v>CHF</v>
      </c>
    </row>
    <row r="138" spans="1:3">
      <c r="A138" s="42" t="str">
        <f>CONCATENATE(LEFT(BASE!G133,6),VLOOKUP('Perpetual Pricing (2)'!$D$1,XE!$A:$C,3,FALSE),MID(BASE!G133,9,1),IF('Perpetual Pricing (2)'!$D$2="Standard","S","G"),RIGHT(BASE!G133,7))</f>
        <v>XSVS00EUUG0300ZZZ</v>
      </c>
      <c r="B138" s="85" t="str">
        <f>TEXT(ROUND(VLOOKUP('Perpetual Pricing (2)'!$D$2,XE!$M$5:$N$6,2,FALSE)*BASE!F133*VLOOKUP('Perpetual Pricing (2)'!$D$1,XE!$A:$F,6,FALSE)* (HLOOKUP($D$3,PARTNERPROGRAM!$D$7:$H$8,2,FALSE)),VLOOKUP('Perpetual Pricing (2)'!$D$1,XE!$A:$H,8,FALSE)),VLOOKUP('Perpetual Pricing (2)'!$D$1,XE!$A:$G,7,FALSE))</f>
        <v>364,200</v>
      </c>
      <c r="C138" t="str">
        <f t="shared" si="2"/>
        <v>CHF</v>
      </c>
    </row>
    <row r="139" spans="1:3">
      <c r="A139" s="42" t="str">
        <f>CONCATENATE(LEFT(BASE!G134,6),VLOOKUP('Perpetual Pricing (2)'!$D$1,XE!$A:$C,3,FALSE),MID(BASE!G134,9,1),IF('Perpetual Pricing (2)'!$D$2="Standard","S","G"),RIGHT(BASE!G134,7))</f>
        <v>XSVS00EUUG1000ZZZ</v>
      </c>
      <c r="B139" s="85" t="str">
        <f>TEXT(ROUND(VLOOKUP('Perpetual Pricing (2)'!$D$2,XE!$M$5:$N$6,2,FALSE)*BASE!F134*VLOOKUP('Perpetual Pricing (2)'!$D$1,XE!$A:$F,6,FALSE)* (HLOOKUP($D$3,PARTNERPROGRAM!$D$7:$H$8,2,FALSE)),VLOOKUP('Perpetual Pricing (2)'!$D$1,XE!$A:$H,8,FALSE)),VLOOKUP('Perpetual Pricing (2)'!$D$1,XE!$A:$G,7,FALSE))</f>
        <v>876,500</v>
      </c>
      <c r="C139" t="str">
        <f t="shared" si="2"/>
        <v>CHF</v>
      </c>
    </row>
    <row r="140" spans="1:3">
      <c r="A140" s="42" t="str">
        <f>CONCATENATE(LEFT(BASE!G135,6),VLOOKUP('Perpetual Pricing (2)'!$D$1,XE!$A:$C,3,FALSE),MID(BASE!G135,9,1),IF('Perpetual Pricing (2)'!$D$2="Standard","S","G"),RIGHT(BASE!G135,7))</f>
        <v>XSVS00EUUG0600ZZZ</v>
      </c>
      <c r="B140" s="85" t="str">
        <f>TEXT(ROUND(VLOOKUP('Perpetual Pricing (2)'!$D$2,XE!$M$5:$N$6,2,FALSE)*BASE!F135*VLOOKUP('Perpetual Pricing (2)'!$D$1,XE!$A:$F,6,FALSE)* (HLOOKUP($D$3,PARTNERPROGRAM!$D$7:$H$8,2,FALSE)),VLOOKUP('Perpetual Pricing (2)'!$D$1,XE!$A:$H,8,FALSE)),VLOOKUP('Perpetual Pricing (2)'!$D$1,XE!$A:$G,7,FALSE))</f>
        <v>473,900</v>
      </c>
      <c r="C140" t="str">
        <f t="shared" si="2"/>
        <v>CHF</v>
      </c>
    </row>
    <row r="141" spans="1:3">
      <c r="A141" s="42" t="str">
        <f>CONCATENATE(LEFT(BASE!G136,6),VLOOKUP('Perpetual Pricing (2)'!$D$1,XE!$A:$C,3,FALSE),MID(BASE!G136,9,1),IF('Perpetual Pricing (2)'!$D$2="Standard","S","G"),RIGHT(BASE!G136,7))</f>
        <v>XSVS00EUUG1200ZZZ</v>
      </c>
      <c r="B141" s="85" t="str">
        <f>TEXT(ROUND(VLOOKUP('Perpetual Pricing (2)'!$D$2,XE!$M$5:$N$6,2,FALSE)*BASE!F136*VLOOKUP('Perpetual Pricing (2)'!$D$1,XE!$A:$F,6,FALSE)* (HLOOKUP($D$3,PARTNERPROGRAM!$D$7:$H$8,2,FALSE)),VLOOKUP('Perpetual Pricing (2)'!$D$1,XE!$A:$H,8,FALSE)),VLOOKUP('Perpetual Pricing (2)'!$D$1,XE!$A:$G,7,FALSE))</f>
        <v>693,500</v>
      </c>
      <c r="C141" t="str">
        <f t="shared" si="2"/>
        <v>CHF</v>
      </c>
    </row>
    <row r="142" spans="1:3">
      <c r="A142" s="42" t="str">
        <f>CONCATENATE(LEFT(BASE!G137,6),VLOOKUP('Perpetual Pricing (2)'!$D$1,XE!$A:$C,3,FALSE),MID(BASE!G137,9,1),IF('Perpetual Pricing (2)'!$D$2="Standard","S","G"),RIGHT(BASE!G137,7))</f>
        <v>XSVS00EUUG2400ZZZ</v>
      </c>
      <c r="B142" s="85" t="str">
        <f>TEXT(ROUND(VLOOKUP('Perpetual Pricing (2)'!$D$2,XE!$M$5:$N$6,2,FALSE)*BASE!F137*VLOOKUP('Perpetual Pricing (2)'!$D$1,XE!$A:$F,6,FALSE)* (HLOOKUP($D$3,PARTNERPROGRAM!$D$7:$H$8,2,FALSE)),VLOOKUP('Perpetual Pricing (2)'!$D$1,XE!$A:$H,8,FALSE)),VLOOKUP('Perpetual Pricing (2)'!$D$1,XE!$A:$G,7,FALSE))</f>
        <v>1372,400</v>
      </c>
      <c r="C142" t="str">
        <f t="shared" si="2"/>
        <v>CHF</v>
      </c>
    </row>
    <row r="143" spans="1:3">
      <c r="A143" s="42" t="str">
        <f>CONCATENATE(LEFT(BASE!G138,6),VLOOKUP('Perpetual Pricing (2)'!$D$1,XE!$A:$C,3,FALSE),MID(BASE!G138,9,1),IF('Perpetual Pricing (2)'!$D$2="Standard","S","G"),RIGHT(BASE!G138,7))</f>
        <v>XSVS00EUUG5000ZZZ</v>
      </c>
      <c r="B143" s="85" t="str">
        <f>TEXT(ROUND(VLOOKUP('Perpetual Pricing (2)'!$D$2,XE!$M$5:$N$6,2,FALSE)*BASE!F138*VLOOKUP('Perpetual Pricing (2)'!$D$1,XE!$A:$F,6,FALSE)* (HLOOKUP($D$3,PARTNERPROGRAM!$D$7:$H$8,2,FALSE)),VLOOKUP('Perpetual Pricing (2)'!$D$1,XE!$A:$H,8,FALSE)),VLOOKUP('Perpetual Pricing (2)'!$D$1,XE!$A:$G,7,FALSE))</f>
        <v>2836,400</v>
      </c>
      <c r="C143" t="str">
        <f t="shared" si="2"/>
        <v>CHF</v>
      </c>
    </row>
    <row r="144" spans="1:3">
      <c r="A144" s="42" t="str">
        <f>CONCATENATE(LEFT(BASE!G147,6),VLOOKUP('Perpetual Pricing (2)'!$D$1,XE!$A:$C,3,FALSE),MID(BASE!G147,9,1),IF('Perpetual Pricing (2)'!$D$2="Standard","S","G"),RIGHT(BASE!G147,7))</f>
        <v>XSVW00EUUG0100ZZZ</v>
      </c>
      <c r="B144" s="85" t="str">
        <f>TEXT(ROUND(VLOOKUP('Perpetual Pricing (2)'!$D$2,XE!$M$5:$N$6,2,FALSE)*BASE!F147*VLOOKUP('Perpetual Pricing (2)'!$D$1,XE!$A:$F,6,FALSE)* (HLOOKUP($D$3,PARTNERPROGRAM!$D$7:$H$8,2,FALSE)),VLOOKUP('Perpetual Pricing (2)'!$D$1,XE!$A:$H,8,FALSE)),VLOOKUP('Perpetual Pricing (2)'!$D$1,XE!$A:$G,7,FALSE))</f>
        <v>144,600</v>
      </c>
      <c r="C144" t="str">
        <f t="shared" si="2"/>
        <v>CHF</v>
      </c>
    </row>
    <row r="145" spans="1:3">
      <c r="A145" s="42" t="str">
        <f>CONCATENATE(LEFT(BASE!G148,6),VLOOKUP('Perpetual Pricing (2)'!$D$1,XE!$A:$C,3,FALSE),MID(BASE!G148,9,1),IF('Perpetual Pricing (2)'!$D$2="Standard","S","G"),RIGHT(BASE!G148,7))</f>
        <v>XSVW00EUUG0300ZZZ</v>
      </c>
      <c r="B145" s="85" t="str">
        <f>TEXT(ROUND(VLOOKUP('Perpetual Pricing (2)'!$D$2,XE!$M$5:$N$6,2,FALSE)*BASE!F148*VLOOKUP('Perpetual Pricing (2)'!$D$1,XE!$A:$F,6,FALSE)* (HLOOKUP($D$3,PARTNERPROGRAM!$D$7:$H$8,2,FALSE)),VLOOKUP('Perpetual Pricing (2)'!$D$1,XE!$A:$H,8,FALSE)),VLOOKUP('Perpetual Pricing (2)'!$D$1,XE!$A:$G,7,FALSE))</f>
        <v>364,200</v>
      </c>
      <c r="C145" t="str">
        <f t="shared" si="2"/>
        <v>CHF</v>
      </c>
    </row>
    <row r="146" spans="1:3">
      <c r="A146" s="42" t="str">
        <f>CONCATENATE(LEFT(BASE!G149,6),VLOOKUP('Perpetual Pricing (2)'!$D$1,XE!$A:$C,3,FALSE),MID(BASE!G149,9,1),IF('Perpetual Pricing (2)'!$D$2="Standard","S","G"),RIGHT(BASE!G149,7))</f>
        <v>XSVW00EUUG1000ZZZ</v>
      </c>
      <c r="B146" s="85" t="str">
        <f>TEXT(ROUND(VLOOKUP('Perpetual Pricing (2)'!$D$2,XE!$M$5:$N$6,2,FALSE)*BASE!F149*VLOOKUP('Perpetual Pricing (2)'!$D$1,XE!$A:$F,6,FALSE)* (HLOOKUP($D$3,PARTNERPROGRAM!$D$7:$H$8,2,FALSE)),VLOOKUP('Perpetual Pricing (2)'!$D$1,XE!$A:$H,8,FALSE)),VLOOKUP('Perpetual Pricing (2)'!$D$1,XE!$A:$G,7,FALSE))</f>
        <v>876,500</v>
      </c>
      <c r="C146" t="str">
        <f t="shared" si="2"/>
        <v>CHF</v>
      </c>
    </row>
    <row r="147" spans="1:3">
      <c r="A147" s="42" t="str">
        <f>CONCATENATE(LEFT(BASE!G150,6),VLOOKUP('Perpetual Pricing (2)'!$D$1,XE!$A:$C,3,FALSE),MID(BASE!G150,9,1),IF('Perpetual Pricing (2)'!$D$2="Standard","S","G"),RIGHT(BASE!G150,7))</f>
        <v>XSVW00EUUG0600ZZZ</v>
      </c>
      <c r="B147" s="85" t="str">
        <f>TEXT(ROUND(VLOOKUP('Perpetual Pricing (2)'!$D$2,XE!$M$5:$N$6,2,FALSE)*BASE!F150*VLOOKUP('Perpetual Pricing (2)'!$D$1,XE!$A:$F,6,FALSE)* (HLOOKUP($D$3,PARTNERPROGRAM!$D$7:$H$8,2,FALSE)),VLOOKUP('Perpetual Pricing (2)'!$D$1,XE!$A:$H,8,FALSE)),VLOOKUP('Perpetual Pricing (2)'!$D$1,XE!$A:$G,7,FALSE))</f>
        <v>473,900</v>
      </c>
      <c r="C147" t="str">
        <f t="shared" si="2"/>
        <v>CHF</v>
      </c>
    </row>
    <row r="148" spans="1:3">
      <c r="A148" s="42" t="str">
        <f>CONCATENATE(LEFT(BASE!G151,6),VLOOKUP('Perpetual Pricing (2)'!$D$1,XE!$A:$C,3,FALSE),MID(BASE!G151,9,1),IF('Perpetual Pricing (2)'!$D$2="Standard","S","G"),RIGHT(BASE!G151,7))</f>
        <v>XSVW00EUUG1200ZZZ</v>
      </c>
      <c r="B148" s="85" t="str">
        <f>TEXT(ROUND(VLOOKUP('Perpetual Pricing (2)'!$D$2,XE!$M$5:$N$6,2,FALSE)*BASE!F151*VLOOKUP('Perpetual Pricing (2)'!$D$1,XE!$A:$F,6,FALSE)* (HLOOKUP($D$3,PARTNERPROGRAM!$D$7:$H$8,2,FALSE)),VLOOKUP('Perpetual Pricing (2)'!$D$1,XE!$A:$H,8,FALSE)),VLOOKUP('Perpetual Pricing (2)'!$D$1,XE!$A:$G,7,FALSE))</f>
        <v>693,500</v>
      </c>
      <c r="C148" t="str">
        <f t="shared" si="2"/>
        <v>CHF</v>
      </c>
    </row>
    <row r="149" spans="1:3">
      <c r="A149" s="42" t="str">
        <f>CONCATENATE(LEFT(BASE!G152,6),VLOOKUP('Perpetual Pricing (2)'!$D$1,XE!$A:$C,3,FALSE),MID(BASE!G152,9,1),IF('Perpetual Pricing (2)'!$D$2="Standard","S","G"),RIGHT(BASE!G152,7))</f>
        <v>XSVW00EUUG2400ZZZ</v>
      </c>
      <c r="B149" s="85" t="str">
        <f>TEXT(ROUND(VLOOKUP('Perpetual Pricing (2)'!$D$2,XE!$M$5:$N$6,2,FALSE)*BASE!F152*VLOOKUP('Perpetual Pricing (2)'!$D$1,XE!$A:$F,6,FALSE)* (HLOOKUP($D$3,PARTNERPROGRAM!$D$7:$H$8,2,FALSE)),VLOOKUP('Perpetual Pricing (2)'!$D$1,XE!$A:$H,8,FALSE)),VLOOKUP('Perpetual Pricing (2)'!$D$1,XE!$A:$G,7,FALSE))</f>
        <v>1372,400</v>
      </c>
      <c r="C149" t="str">
        <f t="shared" si="2"/>
        <v>CHF</v>
      </c>
    </row>
    <row r="150" spans="1:3">
      <c r="A150" s="42" t="str">
        <f>CONCATENATE(LEFT(BASE!G153,6),VLOOKUP('Perpetual Pricing (2)'!$D$1,XE!$A:$C,3,FALSE),MID(BASE!G153,9,1),IF('Perpetual Pricing (2)'!$D$2="Standard","S","G"),RIGHT(BASE!G153,7))</f>
        <v>XSVW00EUUG5000ZZZ</v>
      </c>
      <c r="B150" s="85" t="str">
        <f>TEXT(ROUND(VLOOKUP('Perpetual Pricing (2)'!$D$2,XE!$M$5:$N$6,2,FALSE)*BASE!F153*VLOOKUP('Perpetual Pricing (2)'!$D$1,XE!$A:$F,6,FALSE)* (HLOOKUP($D$3,PARTNERPROGRAM!$D$7:$H$8,2,FALSE)),VLOOKUP('Perpetual Pricing (2)'!$D$1,XE!$A:$H,8,FALSE)),VLOOKUP('Perpetual Pricing (2)'!$D$1,XE!$A:$G,7,FALSE))</f>
        <v>2836,400</v>
      </c>
      <c r="C150" t="str">
        <f t="shared" si="2"/>
        <v>CHF</v>
      </c>
    </row>
    <row r="151" spans="1:3">
      <c r="A151" s="42" t="str">
        <f>CONCATENATE(LEFT(BASE!G190,6),VLOOKUP('Perpetual Pricing (2)'!$D$1,XE!$A:$C,3,FALSE),MID(BASE!G190,9,1),IF('Perpetual Pricing (2)'!$D$2="Standard","S","G"),RIGHT(BASE!G190,7))</f>
        <v>KXWK00EUUG0600ZZZ</v>
      </c>
      <c r="B151" s="85" t="str">
        <f>TEXT(ROUND(VLOOKUP('Perpetual Pricing (2)'!$D$2,XE!$M$5:$N$6,2,FALSE)*BASE!F190*VLOOKUP('Perpetual Pricing (2)'!$D$1,XE!$A:$F,6,FALSE)* (HLOOKUP($D$3,PARTNERPROGRAM!$D$7:$H$8,2,FALSE)),VLOOKUP('Perpetual Pricing (2)'!$D$1,XE!$A:$H,8,FALSE)),VLOOKUP('Perpetual Pricing (2)'!$D$1,XE!$A:$G,7,FALSE))</f>
        <v>93,800</v>
      </c>
      <c r="C151" t="str">
        <f t="shared" si="2"/>
        <v>CHF</v>
      </c>
    </row>
    <row r="152" spans="1:3">
      <c r="A152" s="42" t="str">
        <f>CONCATENATE(LEFT(BASE!G191,6),VLOOKUP('Perpetual Pricing (2)'!$D$1,XE!$A:$C,3,FALSE),MID(BASE!G191,9,1),IF('Perpetual Pricing (2)'!$D$2="Standard","S","G"),RIGHT(BASE!G191,7))</f>
        <v>KXWK00EUUG1200ZZZ</v>
      </c>
      <c r="B152" s="85" t="str">
        <f>TEXT(ROUND(VLOOKUP('Perpetual Pricing (2)'!$D$2,XE!$M$5:$N$6,2,FALSE)*BASE!F191*VLOOKUP('Perpetual Pricing (2)'!$D$1,XE!$A:$F,6,FALSE)* (HLOOKUP($D$3,PARTNERPROGRAM!$D$7:$H$8,2,FALSE)),VLOOKUP('Perpetual Pricing (2)'!$D$1,XE!$A:$H,8,FALSE)),VLOOKUP('Perpetual Pricing (2)'!$D$1,XE!$A:$G,7,FALSE))</f>
        <v>178,500</v>
      </c>
      <c r="C152" t="str">
        <f t="shared" si="2"/>
        <v>CHF</v>
      </c>
    </row>
    <row r="153" spans="1:3">
      <c r="A153" s="42" t="str">
        <f>CONCATENATE(LEFT(BASE!G192,6),VLOOKUP('Perpetual Pricing (2)'!$D$1,XE!$A:$C,3,FALSE),MID(BASE!G192,9,1),IF('Perpetual Pricing (2)'!$D$2="Standard","S","G"),RIGHT(BASE!G192,7))</f>
        <v>KXWK00EUUG2400ZZZ</v>
      </c>
      <c r="B153" s="85" t="str">
        <f>TEXT(ROUND(VLOOKUP('Perpetual Pricing (2)'!$D$2,XE!$M$5:$N$6,2,FALSE)*BASE!F192*VLOOKUP('Perpetual Pricing (2)'!$D$1,XE!$A:$F,6,FALSE)* (HLOOKUP($D$3,PARTNERPROGRAM!$D$7:$H$8,2,FALSE)),VLOOKUP('Perpetual Pricing (2)'!$D$1,XE!$A:$H,8,FALSE)),VLOOKUP('Perpetual Pricing (2)'!$D$1,XE!$A:$G,7,FALSE))</f>
        <v>341,00</v>
      </c>
      <c r="C153" t="str">
        <f t="shared" si="2"/>
        <v>CHF</v>
      </c>
    </row>
    <row r="154" spans="1:3">
      <c r="A154" s="42" t="str">
        <f>CONCATENATE(LEFT(BASE!G193,6),VLOOKUP('Perpetual Pricing (2)'!$D$1,XE!$A:$C,3,FALSE),MID(BASE!G193,9,1),IF('Perpetual Pricing (2)'!$D$2="Standard","S","G"),RIGHT(BASE!G193,7))</f>
        <v>KXWK00EUUG5000ZZZ</v>
      </c>
      <c r="B154" s="85" t="str">
        <f>TEXT(ROUND(VLOOKUP('Perpetual Pricing (2)'!$D$2,XE!$M$5:$N$6,2,FALSE)*BASE!F193*VLOOKUP('Perpetual Pricing (2)'!$D$1,XE!$A:$F,6,FALSE)* (HLOOKUP($D$3,PARTNERPROGRAM!$D$7:$H$8,2,FALSE)),VLOOKUP('Perpetual Pricing (2)'!$D$1,XE!$A:$H,8,FALSE)),VLOOKUP('Perpetual Pricing (2)'!$D$1,XE!$A:$G,7,FALSE))</f>
        <v>631,200</v>
      </c>
      <c r="C154" t="str">
        <f t="shared" si="2"/>
        <v>CHF</v>
      </c>
    </row>
    <row r="155" spans="1:3">
      <c r="A155" s="42" t="str">
        <f>CONCATENATE(LEFT(BASE!G202,6),VLOOKUP('Perpetual Pricing (2)'!$D$1,XE!$A:$C,3,FALSE),MID(BASE!G202,9,1),IF('Perpetual Pricing (2)'!$D$2="Standard","S","G"),RIGHT(BASE!G202,7))</f>
        <v>SSPS50EUUG0100ZZZ</v>
      </c>
      <c r="B155" s="85" t="str">
        <f>TEXT(ROUND(VLOOKUP('Perpetual Pricing (2)'!$D$2,XE!$M$5:$N$6,2,FALSE)*BASE!F202*VLOOKUP('Perpetual Pricing (2)'!$D$1,XE!$A:$F,6,FALSE)* (HLOOKUP($D$3,PARTNERPROGRAM!$D$7:$H$8,2,FALSE)),VLOOKUP('Perpetual Pricing (2)'!$D$1,XE!$A:$H,8,FALSE)),VLOOKUP('Perpetual Pricing (2)'!$D$1,XE!$A:$G,7,FALSE))</f>
        <v>400,800</v>
      </c>
      <c r="C155" t="str">
        <f t="shared" si="2"/>
        <v>CHF</v>
      </c>
    </row>
    <row r="156" spans="1:3">
      <c r="A156" s="42" t="str">
        <f>CONCATENATE(LEFT(BASE!G203,6),VLOOKUP('Perpetual Pricing (2)'!$D$1,XE!$A:$C,3,FALSE),MID(BASE!G203,9,1),IF('Perpetual Pricing (2)'!$D$2="Standard","S","G"),RIGHT(BASE!G203,7))</f>
        <v>SSPS50EUUG0100ZZA</v>
      </c>
      <c r="B156" s="85" t="str">
        <f>TEXT(ROUND(VLOOKUP('Perpetual Pricing (2)'!$D$2,XE!$M$5:$N$6,2,FALSE)*BASE!F203*VLOOKUP('Perpetual Pricing (2)'!$D$1,XE!$A:$F,6,FALSE)* (HLOOKUP($D$3,PARTNERPROGRAM!$D$7:$H$8,2,FALSE)),VLOOKUP('Perpetual Pricing (2)'!$D$1,XE!$A:$H,8,FALSE)),VLOOKUP('Perpetual Pricing (2)'!$D$1,XE!$A:$G,7,FALSE))</f>
        <v>364,700</v>
      </c>
      <c r="C156" t="str">
        <f t="shared" si="2"/>
        <v>CHF</v>
      </c>
    </row>
    <row r="157" spans="1:3">
      <c r="A157" s="42" t="str">
        <f>CONCATENATE(LEFT(BASE!G204,6),VLOOKUP('Perpetual Pricing (2)'!$D$1,XE!$A:$C,3,FALSE),MID(BASE!G204,9,1),IF('Perpetual Pricing (2)'!$D$2="Standard","S","G"),RIGHT(BASE!G204,7))</f>
        <v>SSPS50EUUG0100ZZB</v>
      </c>
      <c r="B157" s="85" t="str">
        <f>TEXT(ROUND(VLOOKUP('Perpetual Pricing (2)'!$D$2,XE!$M$5:$N$6,2,FALSE)*BASE!F204*VLOOKUP('Perpetual Pricing (2)'!$D$1,XE!$A:$F,6,FALSE)* (HLOOKUP($D$3,PARTNERPROGRAM!$D$7:$H$8,2,FALSE)),VLOOKUP('Perpetual Pricing (2)'!$D$1,XE!$A:$H,8,FALSE)),VLOOKUP('Perpetual Pricing (2)'!$D$1,XE!$A:$G,7,FALSE))</f>
        <v>307,400</v>
      </c>
      <c r="C157" t="str">
        <f t="shared" si="2"/>
        <v>CHF</v>
      </c>
    </row>
    <row r="158" spans="1:3">
      <c r="A158" s="42" t="str">
        <f>CONCATENATE(LEFT(BASE!G205,6),VLOOKUP('Perpetual Pricing (2)'!$D$1,XE!$A:$C,3,FALSE),MID(BASE!G205,9,1),IF('Perpetual Pricing (2)'!$D$2="Standard","S","G"),RIGHT(BASE!G205,7))</f>
        <v>SSPS50EUUG0100ZZC</v>
      </c>
      <c r="B158" s="85" t="str">
        <f>TEXT(ROUND(VLOOKUP('Perpetual Pricing (2)'!$D$2,XE!$M$5:$N$6,2,FALSE)*BASE!F205*VLOOKUP('Perpetual Pricing (2)'!$D$1,XE!$A:$F,6,FALSE)* (HLOOKUP($D$3,PARTNERPROGRAM!$D$7:$H$8,2,FALSE)),VLOOKUP('Perpetual Pricing (2)'!$D$1,XE!$A:$H,8,FALSE)),VLOOKUP('Perpetual Pricing (2)'!$D$1,XE!$A:$G,7,FALSE))</f>
        <v>249,700</v>
      </c>
      <c r="C158" t="str">
        <f t="shared" si="2"/>
        <v>CHF</v>
      </c>
    </row>
    <row r="159" spans="1:3">
      <c r="A159" s="42" t="str">
        <f>CONCATENATE(LEFT(BASE!G231,6),VLOOKUP('Perpetual Pricing (2)'!$D$1,XE!$A:$C,3,FALSE),MID(BASE!G231,9,1),IF('Perpetual Pricing (2)'!$D$2="Standard","S","G"),RIGHT(BASE!G231,7))</f>
        <v>BSBS50EUUG0100ZZZ</v>
      </c>
      <c r="B159" s="85" t="str">
        <f>TEXT(ROUND(VLOOKUP('Perpetual Pricing (2)'!$D$2,XE!$M$5:$N$6,2,FALSE)*BASE!F231*VLOOKUP('Perpetual Pricing (2)'!$D$1,XE!$A:$F,6,FALSE)* (HLOOKUP($D$3,PARTNERPROGRAM!$D$7:$H$8,2,FALSE)),VLOOKUP('Perpetual Pricing (2)'!$D$1,XE!$A:$H,8,FALSE)),VLOOKUP('Perpetual Pricing (2)'!$D$1,XE!$A:$G,7,FALSE))</f>
        <v>200,900</v>
      </c>
      <c r="C159" t="str">
        <f t="shared" si="2"/>
        <v>CHF</v>
      </c>
    </row>
    <row r="160" spans="1:3">
      <c r="A160" s="42" t="str">
        <f>CONCATENATE(LEFT(BASE!G232,6),VLOOKUP('Perpetual Pricing (2)'!$D$1,XE!$A:$C,3,FALSE),MID(BASE!G232,9,1),IF('Perpetual Pricing (2)'!$D$2="Standard","S","G"),RIGHT(BASE!G232,7))</f>
        <v>BSBP50EUUG0200ZZZ</v>
      </c>
      <c r="B160" s="85" t="str">
        <f>TEXT(ROUND(VLOOKUP('Perpetual Pricing (2)'!$D$2,XE!$M$5:$N$6,2,FALSE)*BASE!F232*VLOOKUP('Perpetual Pricing (2)'!$D$1,XE!$A:$F,6,FALSE)* (HLOOKUP($D$3,PARTNERPROGRAM!$D$7:$H$8,2,FALSE)),VLOOKUP('Perpetual Pricing (2)'!$D$1,XE!$A:$H,8,FALSE)),VLOOKUP('Perpetual Pricing (2)'!$D$1,XE!$A:$G,7,FALSE))</f>
        <v>601,700</v>
      </c>
      <c r="C160" t="str">
        <f t="shared" si="2"/>
        <v>CHF</v>
      </c>
    </row>
    <row r="161" spans="1:3">
      <c r="A161" s="42" t="str">
        <f>CONCATENATE(LEFT(BASE!G251,6),VLOOKUP('Perpetual Pricing (2)'!$D$1,XE!$A:$C,3,FALSE),MID(BASE!G251,9,1),IF('Perpetual Pricing (2)'!$D$2="Standard","S","G"),RIGHT(BASE!G251,7))</f>
        <v>DSPD50EUUG0100ZZZ</v>
      </c>
      <c r="B161" s="85" t="str">
        <f>TEXT(ROUND(VLOOKUP('Perpetual Pricing (2)'!$D$2,XE!$M$5:$N$6,2,FALSE)*BASE!F251*VLOOKUP('Perpetual Pricing (2)'!$D$1,XE!$A:$F,6,FALSE)* (HLOOKUP($D$3,PARTNERPROGRAM!$D$7:$H$8,2,FALSE)),VLOOKUP('Perpetual Pricing (2)'!$D$1,XE!$A:$H,8,FALSE)),VLOOKUP('Perpetual Pricing (2)'!$D$1,XE!$A:$G,7,FALSE))</f>
        <v>36,600</v>
      </c>
      <c r="C161" t="str">
        <f t="shared" si="2"/>
        <v>CHF</v>
      </c>
    </row>
    <row r="162" spans="1:3">
      <c r="A162" s="42" t="str">
        <f>CONCATENATE(LEFT(BASE!G252,6),VLOOKUP('Perpetual Pricing (2)'!$D$1,XE!$A:$C,3,FALSE),MID(BASE!G252,9,1),IF('Perpetual Pricing (2)'!$D$2="Standard","S","G"),RIGHT(BASE!G252,7))</f>
        <v>DSPD50EUUG0100ZZA</v>
      </c>
      <c r="B162" s="85" t="str">
        <f>TEXT(ROUND(VLOOKUP('Perpetual Pricing (2)'!$D$2,XE!$M$5:$N$6,2,FALSE)*BASE!F252*VLOOKUP('Perpetual Pricing (2)'!$D$1,XE!$A:$F,6,FALSE)* (HLOOKUP($D$3,PARTNERPROGRAM!$D$7:$H$8,2,FALSE)),VLOOKUP('Perpetual Pricing (2)'!$D$1,XE!$A:$H,8,FALSE)),VLOOKUP('Perpetual Pricing (2)'!$D$1,XE!$A:$G,7,FALSE))</f>
        <v>33,300</v>
      </c>
      <c r="C162" t="str">
        <f t="shared" si="2"/>
        <v>CHF</v>
      </c>
    </row>
    <row r="163" spans="1:3">
      <c r="A163" s="42" t="str">
        <f>CONCATENATE(LEFT(BASE!G253,6),VLOOKUP('Perpetual Pricing (2)'!$D$1,XE!$A:$C,3,FALSE),MID(BASE!G253,9,1),IF('Perpetual Pricing (2)'!$D$2="Standard","S","G"),RIGHT(BASE!G253,7))</f>
        <v>DSPD50EUUG0100ZZB</v>
      </c>
      <c r="B163" s="85" t="str">
        <f>TEXT(ROUND(VLOOKUP('Perpetual Pricing (2)'!$D$2,XE!$M$5:$N$6,2,FALSE)*BASE!F253*VLOOKUP('Perpetual Pricing (2)'!$D$1,XE!$A:$F,6,FALSE)* (HLOOKUP($D$3,PARTNERPROGRAM!$D$7:$H$8,2,FALSE)),VLOOKUP('Perpetual Pricing (2)'!$D$1,XE!$A:$H,8,FALSE)),VLOOKUP('Perpetual Pricing (2)'!$D$1,XE!$A:$G,7,FALSE))</f>
        <v>28,100</v>
      </c>
      <c r="C163" t="str">
        <f t="shared" si="2"/>
        <v>CHF</v>
      </c>
    </row>
    <row r="164" spans="1:3">
      <c r="A164" s="42" t="str">
        <f>CONCATENATE(LEFT(BASE!G254,6),VLOOKUP('Perpetual Pricing (2)'!$D$1,XE!$A:$C,3,FALSE),MID(BASE!G254,9,1),IF('Perpetual Pricing (2)'!$D$2="Standard","S","G"),RIGHT(BASE!G254,7))</f>
        <v>DSPD50EUUG0100ZZC</v>
      </c>
      <c r="B164" s="85" t="str">
        <f>TEXT(ROUND(VLOOKUP('Perpetual Pricing (2)'!$D$2,XE!$M$5:$N$6,2,FALSE)*BASE!F254*VLOOKUP('Perpetual Pricing (2)'!$D$1,XE!$A:$F,6,FALSE)* (HLOOKUP($D$3,PARTNERPROGRAM!$D$7:$H$8,2,FALSE)),VLOOKUP('Perpetual Pricing (2)'!$D$1,XE!$A:$H,8,FALSE)),VLOOKUP('Perpetual Pricing (2)'!$D$1,XE!$A:$G,7,FALSE))</f>
        <v>22,800</v>
      </c>
      <c r="C164" t="str">
        <f t="shared" si="2"/>
        <v>CHF</v>
      </c>
    </row>
    <row r="165" spans="1:3">
      <c r="A165" s="42" t="str">
        <f>CONCATENATE(LEFT(BASE!G255,6),VLOOKUP('Perpetual Pricing (2)'!$D$1,XE!$A:$C,3,FALSE),MID(BASE!G255,9,1),IF('Perpetual Pricing (2)'!$D$2="Standard","S","G"),RIGHT(BASE!G255,7))</f>
        <v>DSPD50EUUG0300ZZZ</v>
      </c>
      <c r="B165" s="85" t="str">
        <f>TEXT(ROUND(VLOOKUP('Perpetual Pricing (2)'!$D$2,XE!$M$5:$N$6,2,FALSE)*BASE!F255*VLOOKUP('Perpetual Pricing (2)'!$D$1,XE!$A:$F,6,FALSE)* (HLOOKUP($D$3,PARTNERPROGRAM!$D$7:$H$8,2,FALSE)),VLOOKUP('Perpetual Pricing (2)'!$D$1,XE!$A:$H,8,FALSE)),VLOOKUP('Perpetual Pricing (2)'!$D$1,XE!$A:$G,7,FALSE))</f>
        <v>85,600</v>
      </c>
      <c r="C165" t="str">
        <f t="shared" si="2"/>
        <v>CHF</v>
      </c>
    </row>
    <row r="166" spans="1:3">
      <c r="A166" s="42" t="str">
        <f>CONCATENATE(LEFT(BASE!G277,6),VLOOKUP('Perpetual Pricing (2)'!$D$1,XE!$A:$C,3,FALSE),MID(BASE!G277,9,1),IF('Perpetual Pricing (2)'!$D$2="Standard","S","G"),RIGHT(BASE!G277,7))</f>
        <v>ISPI50EUNG011YZRZ</v>
      </c>
      <c r="B166" s="85" t="str">
        <f>TEXT(ROUND(VLOOKUP('Perpetual Pricing (2)'!$D$2,XE!$M$5:$N$6,2,FALSE)*BASE!F277*VLOOKUP('Perpetual Pricing (2)'!$D$1,XE!$A:$F,6,FALSE)* (HLOOKUP($D$3,PARTNERPROGRAM!$D$7:$H$8,2,FALSE)),VLOOKUP('Perpetual Pricing (2)'!$D$1,XE!$A:$H,8,FALSE)),VLOOKUP('Perpetual Pricing (2)'!$D$1,XE!$A:$G,7,FALSE))</f>
        <v>1829,900</v>
      </c>
      <c r="C166" t="str">
        <f t="shared" si="2"/>
        <v>CHF</v>
      </c>
    </row>
    <row r="167" spans="1:3">
      <c r="A167" s="42" t="str">
        <f>CONCATENATE(LEFT(BASE!G278,6),VLOOKUP('Perpetual Pricing (2)'!$D$1,XE!$A:$C,3,FALSE),MID(BASE!G278,9,1),IF('Perpetual Pricing (2)'!$D$2="Standard","S","G"),RIGHT(BASE!G278,7))</f>
        <v>IADD50EUNG011YZRZ</v>
      </c>
      <c r="B167" s="85" t="str">
        <f>TEXT(ROUND(VLOOKUP('Perpetual Pricing (2)'!$D$2,XE!$M$5:$N$6,2,FALSE)*BASE!F278*VLOOKUP('Perpetual Pricing (2)'!$D$1,XE!$A:$F,6,FALSE)* (HLOOKUP($D$3,PARTNERPROGRAM!$D$7:$H$8,2,FALSE)),VLOOKUP('Perpetual Pricing (2)'!$D$1,XE!$A:$H,8,FALSE)),VLOOKUP('Perpetual Pricing (2)'!$D$1,XE!$A:$G,7,FALSE))</f>
        <v>1097,900</v>
      </c>
      <c r="C167" t="str">
        <f t="shared" si="2"/>
        <v>CHF</v>
      </c>
    </row>
    <row r="168" spans="1:3">
      <c r="A168" s="42" t="str">
        <f>CONCATENATE(LEFT(BASE!G279,6),VLOOKUP('Perpetual Pricing (2)'!$D$1,XE!$A:$C,3,FALSE),MID(BASE!G279,9,1),IF('Perpetual Pricing (2)'!$D$2="Standard","S","G"),RIGHT(BASE!G279,7))</f>
        <v>ISPI50EUNG013MZRZ</v>
      </c>
      <c r="B168" s="85" t="str">
        <f>TEXT(ROUND(VLOOKUP('Perpetual Pricing (2)'!$D$2,XE!$M$5:$N$6,2,FALSE)*BASE!F279*VLOOKUP('Perpetual Pricing (2)'!$D$1,XE!$A:$F,6,FALSE)* (HLOOKUP($D$3,PARTNERPROGRAM!$D$7:$H$8,2,FALSE)),VLOOKUP('Perpetual Pricing (2)'!$D$1,XE!$A:$H,8,FALSE)),VLOOKUP('Perpetual Pricing (2)'!$D$1,XE!$A:$G,7,FALSE))</f>
        <v>960,700</v>
      </c>
      <c r="C168" t="str">
        <f t="shared" si="2"/>
        <v>CHF</v>
      </c>
    </row>
    <row r="169" spans="1:3">
      <c r="A169" s="42" t="str">
        <f>CONCATENATE(LEFT(BASE!G280,6),VLOOKUP('Perpetual Pricing (2)'!$D$1,XE!$A:$C,3,FALSE),MID(BASE!G280,9,1),IF('Perpetual Pricing (2)'!$D$2="Standard","S","G"),RIGHT(BASE!G280,7))</f>
        <v>ISPI50EUNG011MZRZ</v>
      </c>
      <c r="B169" s="85" t="str">
        <f>TEXT(ROUND(VLOOKUP('Perpetual Pricing (2)'!$D$2,XE!$M$5:$N$6,2,FALSE)*BASE!F280*VLOOKUP('Perpetual Pricing (2)'!$D$1,XE!$A:$F,6,FALSE)* (HLOOKUP($D$3,PARTNERPROGRAM!$D$7:$H$8,2,FALSE)),VLOOKUP('Perpetual Pricing (2)'!$D$1,XE!$A:$H,8,FALSE)),VLOOKUP('Perpetual Pricing (2)'!$D$1,XE!$A:$G,7,FALSE))</f>
        <v>363,100</v>
      </c>
      <c r="C169" t="str">
        <f t="shared" si="2"/>
        <v>CHF</v>
      </c>
    </row>
    <row r="170" spans="1:3">
      <c r="A170" s="42" t="str">
        <f>CONCATENATE(LEFT(BASE!G281,6),VLOOKUP('Perpetual Pricing (2)'!$D$1,XE!$A:$C,3,FALSE),MID(BASE!G281,9,1),IF('Perpetual Pricing (2)'!$D$2="Standard","S","G"),RIGHT(BASE!G281,7))</f>
        <v>ISPI50EUNG012WZRZ</v>
      </c>
      <c r="B170" s="85" t="str">
        <f>TEXT(ROUND(VLOOKUP('Perpetual Pricing (2)'!$D$2,XE!$M$5:$N$6,2,FALSE)*BASE!F281*VLOOKUP('Perpetual Pricing (2)'!$D$1,XE!$A:$F,6,FALSE)* (HLOOKUP($D$3,PARTNERPROGRAM!$D$7:$H$8,2,FALSE)),VLOOKUP('Perpetual Pricing (2)'!$D$1,XE!$A:$H,8,FALSE)),VLOOKUP('Perpetual Pricing (2)'!$D$1,XE!$A:$G,7,FALSE))</f>
        <v>186,700</v>
      </c>
      <c r="C170" t="str">
        <f t="shared" si="2"/>
        <v>CHF</v>
      </c>
    </row>
    <row r="171" spans="1:3">
      <c r="A171" s="42" t="str">
        <f>CONCATENATE(LEFT(BASE!G283,6),VLOOKUP('Perpetual Pricing (2)'!$D$1,XE!$A:$C,3,FALSE),MID(BASE!G283,9,1),IF('Perpetual Pricing (2)'!$D$2="Standard","S","G"),RIGHT(BASE!G283,7))</f>
        <v>IPRO50EUNG011YZRZ</v>
      </c>
      <c r="B171" s="85" t="str">
        <f>TEXT(ROUND(VLOOKUP('Perpetual Pricing (2)'!$D$2,XE!$M$5:$N$6,2,FALSE)*BASE!F283*VLOOKUP('Perpetual Pricing (2)'!$D$1,XE!$A:$F,6,FALSE)* (HLOOKUP($D$3,PARTNERPROGRAM!$D$7:$H$8,2,FALSE)),VLOOKUP('Perpetual Pricing (2)'!$D$1,XE!$A:$H,8,FALSE)),VLOOKUP('Perpetual Pricing (2)'!$D$1,XE!$A:$G,7,FALSE))</f>
        <v>3293,800</v>
      </c>
      <c r="C171" t="str">
        <f t="shared" si="2"/>
        <v>CHF</v>
      </c>
    </row>
    <row r="172" spans="1:3">
      <c r="A172" s="42" t="str">
        <f>CONCATENATE(LEFT(BASE!G284,6),VLOOKUP('Perpetual Pricing (2)'!$D$1,XE!$A:$C,3,FALSE),MID(BASE!G284,9,1),IF('Perpetual Pricing (2)'!$D$2="Standard","S","G"),RIGHT(BASE!G284,7))</f>
        <v>IADP50EUNG011YZRZ</v>
      </c>
      <c r="B172" s="85" t="str">
        <f>TEXT(ROUND(VLOOKUP('Perpetual Pricing (2)'!$D$2,XE!$M$5:$N$6,2,FALSE)*BASE!F284*VLOOKUP('Perpetual Pricing (2)'!$D$1,XE!$A:$F,6,FALSE)* (HLOOKUP($D$3,PARTNERPROGRAM!$D$7:$H$8,2,FALSE)),VLOOKUP('Perpetual Pricing (2)'!$D$1,XE!$A:$H,8,FALSE)),VLOOKUP('Perpetual Pricing (2)'!$D$1,XE!$A:$G,7,FALSE))</f>
        <v>1973,600</v>
      </c>
      <c r="C172" t="str">
        <f t="shared" si="2"/>
        <v>CHF</v>
      </c>
    </row>
    <row r="173" spans="1:3">
      <c r="A173" s="42" t="str">
        <f>CONCATENATE(LEFT(BASE!G285,6),VLOOKUP('Perpetual Pricing (2)'!$D$1,XE!$A:$C,3,FALSE),MID(BASE!G285,9,1),IF('Perpetual Pricing (2)'!$D$2="Standard","S","G"),RIGHT(BASE!G285,7))</f>
        <v>IPRO50EUNG013MZRZ</v>
      </c>
      <c r="B173" s="85" t="str">
        <f>TEXT(ROUND(VLOOKUP('Perpetual Pricing (2)'!$D$2,XE!$M$5:$N$6,2,FALSE)*BASE!F285*VLOOKUP('Perpetual Pricing (2)'!$D$1,XE!$A:$F,6,FALSE)* (HLOOKUP($D$3,PARTNERPROGRAM!$D$7:$H$8,2,FALSE)),VLOOKUP('Perpetual Pricing (2)'!$D$1,XE!$A:$H,8,FALSE)),VLOOKUP('Perpetual Pricing (2)'!$D$1,XE!$A:$G,7,FALSE))</f>
        <v>1720,100</v>
      </c>
      <c r="C173" t="str">
        <f t="shared" si="2"/>
        <v>CHF</v>
      </c>
    </row>
    <row r="174" spans="1:3">
      <c r="A174" s="42" t="str">
        <f>CONCATENATE(LEFT(BASE!G286,6),VLOOKUP('Perpetual Pricing (2)'!$D$1,XE!$A:$C,3,FALSE),MID(BASE!G286,9,1),IF('Perpetual Pricing (2)'!$D$2="Standard","S","G"),RIGHT(BASE!G286,7))</f>
        <v>IPRO50EUNG011MZRZ</v>
      </c>
      <c r="B174" s="85" t="str">
        <f>TEXT(ROUND(VLOOKUP('Perpetual Pricing (2)'!$D$2,XE!$M$5:$N$6,2,FALSE)*BASE!F286*VLOOKUP('Perpetual Pricing (2)'!$D$1,XE!$A:$F,6,FALSE)* (HLOOKUP($D$3,PARTNERPROGRAM!$D$7:$H$8,2,FALSE)),VLOOKUP('Perpetual Pricing (2)'!$D$1,XE!$A:$H,8,FALSE)),VLOOKUP('Perpetual Pricing (2)'!$D$1,XE!$A:$G,7,FALSE))</f>
        <v>651,500</v>
      </c>
      <c r="C174" t="str">
        <f t="shared" si="2"/>
        <v>CHF</v>
      </c>
    </row>
    <row r="175" spans="1:3">
      <c r="A175" s="42" t="str">
        <f>CONCATENATE(LEFT(BASE!G287,6),VLOOKUP('Perpetual Pricing (2)'!$D$1,XE!$A:$C,3,FALSE),MID(BASE!G287,9,1),IF('Perpetual Pricing (2)'!$D$2="Standard","S","G"),RIGHT(BASE!G287,7))</f>
        <v>IPRO50EUNG012WZRZ</v>
      </c>
      <c r="B175" s="85" t="str">
        <f>TEXT(ROUND(VLOOKUP('Perpetual Pricing (2)'!$D$2,XE!$M$5:$N$6,2,FALSE)*BASE!F287*VLOOKUP('Perpetual Pricing (2)'!$D$1,XE!$A:$F,6,FALSE)* (HLOOKUP($D$3,PARTNERPROGRAM!$D$7:$H$8,2,FALSE)),VLOOKUP('Perpetual Pricing (2)'!$D$1,XE!$A:$H,8,FALSE)),VLOOKUP('Perpetual Pricing (2)'!$D$1,XE!$A:$G,7,FALSE))</f>
        <v>328,700</v>
      </c>
      <c r="C175" t="str">
        <f t="shared" si="2"/>
        <v>CHF</v>
      </c>
    </row>
    <row r="176" spans="1:3">
      <c r="A176" s="42" t="str">
        <f>CONCATENATE(LEFT(BASE!G298,6),VLOOKUP('Perpetual Pricing (2)'!$D$1,XE!$A:$C,3,FALSE),MID(BASE!G298,9,1),IF('Perpetual Pricing (2)'!$D$2="Standard","S","G"),RIGHT(BASE!G298,7))</f>
        <v>DSDV50EUUG0600ZZZ</v>
      </c>
      <c r="B176" s="85" t="str">
        <f>TEXT(ROUND(VLOOKUP('Perpetual Pricing (2)'!$D$2,XE!$M$5:$N$6,2,FALSE)*BASE!F298*VLOOKUP('Perpetual Pricing (2)'!$D$1,XE!$A:$F,6,FALSE)* (HLOOKUP($D$3,PARTNERPROGRAM!$D$7:$H$8,2,FALSE)),VLOOKUP('Perpetual Pricing (2)'!$D$1,XE!$A:$H,8,FALSE)),VLOOKUP('Perpetual Pricing (2)'!$D$1,XE!$A:$G,7,FALSE))</f>
        <v>93,800</v>
      </c>
      <c r="C176" t="str">
        <f t="shared" si="2"/>
        <v>CHF</v>
      </c>
    </row>
    <row r="177" spans="1:3">
      <c r="A177" s="42" t="str">
        <f>CONCATENATE(LEFT(BASE!G299,6),VLOOKUP('Perpetual Pricing (2)'!$D$1,XE!$A:$C,3,FALSE),MID(BASE!G299,9,1),IF('Perpetual Pricing (2)'!$D$2="Standard","S","G"),RIGHT(BASE!G299,7))</f>
        <v>DSDV50EUUG1200ZZZ</v>
      </c>
      <c r="B177" s="85" t="str">
        <f>TEXT(ROUND(VLOOKUP('Perpetual Pricing (2)'!$D$2,XE!$M$5:$N$6,2,FALSE)*BASE!F299*VLOOKUP('Perpetual Pricing (2)'!$D$1,XE!$A:$F,6,FALSE)* (HLOOKUP($D$3,PARTNERPROGRAM!$D$7:$H$8,2,FALSE)),VLOOKUP('Perpetual Pricing (2)'!$D$1,XE!$A:$H,8,FALSE)),VLOOKUP('Perpetual Pricing (2)'!$D$1,XE!$A:$G,7,FALSE))</f>
        <v>178,500</v>
      </c>
      <c r="C177" t="str">
        <f t="shared" si="2"/>
        <v>CHF</v>
      </c>
    </row>
    <row r="178" spans="1:3">
      <c r="A178" s="42" t="str">
        <f>CONCATENATE(LEFT(BASE!G300,6),VLOOKUP('Perpetual Pricing (2)'!$D$1,XE!$A:$C,3,FALSE),MID(BASE!G300,9,1),IF('Perpetual Pricing (2)'!$D$2="Standard","S","G"),RIGHT(BASE!G300,7))</f>
        <v>DSDV50EUUG2400ZZZ</v>
      </c>
      <c r="B178" s="85" t="str">
        <f>TEXT(ROUND(VLOOKUP('Perpetual Pricing (2)'!$D$2,XE!$M$5:$N$6,2,FALSE)*BASE!F300*VLOOKUP('Perpetual Pricing (2)'!$D$1,XE!$A:$F,6,FALSE)* (HLOOKUP($D$3,PARTNERPROGRAM!$D$7:$H$8,2,FALSE)),VLOOKUP('Perpetual Pricing (2)'!$D$1,XE!$A:$H,8,FALSE)),VLOOKUP('Perpetual Pricing (2)'!$D$1,XE!$A:$G,7,FALSE))</f>
        <v>341,00</v>
      </c>
      <c r="C178" t="str">
        <f t="shared" si="2"/>
        <v>CHF</v>
      </c>
    </row>
    <row r="179" spans="1:3">
      <c r="A179" s="42" t="str">
        <f>CONCATENATE(LEFT(BASE!G301,6),VLOOKUP('Perpetual Pricing (2)'!$D$1,XE!$A:$C,3,FALSE),MID(BASE!G301,9,1),IF('Perpetual Pricing (2)'!$D$2="Standard","S","G"),RIGHT(BASE!G301,7))</f>
        <v>DSDV50EUUG5000ZZZ</v>
      </c>
      <c r="B179" s="85" t="str">
        <f>TEXT(ROUND(VLOOKUP('Perpetual Pricing (2)'!$D$2,XE!$M$5:$N$6,2,FALSE)*BASE!F301*VLOOKUP('Perpetual Pricing (2)'!$D$1,XE!$A:$F,6,FALSE)* (HLOOKUP($D$3,PARTNERPROGRAM!$D$7:$H$8,2,FALSE)),VLOOKUP('Perpetual Pricing (2)'!$D$1,XE!$A:$H,8,FALSE)),VLOOKUP('Perpetual Pricing (2)'!$D$1,XE!$A:$G,7,FALSE))</f>
        <v>631,200</v>
      </c>
      <c r="C179" t="str">
        <f t="shared" si="2"/>
        <v>CHF</v>
      </c>
    </row>
    <row r="180" spans="1:3">
      <c r="A180" s="42" t="str">
        <f>CONCATENATE(LEFT(BASE!G302,6),VLOOKUP('Perpetual Pricing (2)'!$D$1,XE!$A:$C,3,FALSE),MID(BASE!G302,9,1),IF('Perpetual Pricing (2)'!$D$2="Standard","S","G"),RIGHT(BASE!G302,7))</f>
        <v>SSSV50EUUG0100ZZZ</v>
      </c>
      <c r="B180" s="85" t="str">
        <f>TEXT(ROUND(VLOOKUP('Perpetual Pricing (2)'!$D$2,XE!$M$5:$N$6,2,FALSE)*BASE!F302*VLOOKUP('Perpetual Pricing (2)'!$D$1,XE!$A:$F,6,FALSE)* (HLOOKUP($D$3,PARTNERPROGRAM!$D$7:$H$8,2,FALSE)),VLOOKUP('Perpetual Pricing (2)'!$D$1,XE!$A:$H,8,FALSE)),VLOOKUP('Perpetual Pricing (2)'!$D$1,XE!$A:$G,7,FALSE))</f>
        <v>144,600</v>
      </c>
      <c r="C180" t="str">
        <f t="shared" si="2"/>
        <v>CHF</v>
      </c>
    </row>
    <row r="181" spans="1:3">
      <c r="A181" s="42" t="str">
        <f>CONCATENATE(LEFT(BASE!G303,6),VLOOKUP('Perpetual Pricing (2)'!$D$1,XE!$A:$C,3,FALSE),MID(BASE!G303,9,1),IF('Perpetual Pricing (2)'!$D$2="Standard","S","G"),RIGHT(BASE!G303,7))</f>
        <v>SSSV50EUUG0300ZZZ</v>
      </c>
      <c r="B181" s="85" t="str">
        <f>TEXT(ROUND(VLOOKUP('Perpetual Pricing (2)'!$D$2,XE!$M$5:$N$6,2,FALSE)*BASE!F303*VLOOKUP('Perpetual Pricing (2)'!$D$1,XE!$A:$F,6,FALSE)* (HLOOKUP($D$3,PARTNERPROGRAM!$D$7:$H$8,2,FALSE)),VLOOKUP('Perpetual Pricing (2)'!$D$1,XE!$A:$H,8,FALSE)),VLOOKUP('Perpetual Pricing (2)'!$D$1,XE!$A:$G,7,FALSE))</f>
        <v>364,200</v>
      </c>
      <c r="C181" t="str">
        <f t="shared" si="2"/>
        <v>CHF</v>
      </c>
    </row>
    <row r="182" spans="1:3">
      <c r="A182" s="42" t="str">
        <f>CONCATENATE(LEFT(BASE!G304,6),VLOOKUP('Perpetual Pricing (2)'!$D$1,XE!$A:$C,3,FALSE),MID(BASE!G304,9,1),IF('Perpetual Pricing (2)'!$D$2="Standard","S","G"),RIGHT(BASE!G304,7))</f>
        <v>SSSV50EUUG0600ZZZ</v>
      </c>
      <c r="B182" s="85" t="str">
        <f>TEXT(ROUND(VLOOKUP('Perpetual Pricing (2)'!$D$2,XE!$M$5:$N$6,2,FALSE)*BASE!F304*VLOOKUP('Perpetual Pricing (2)'!$D$1,XE!$A:$F,6,FALSE)* (HLOOKUP($D$3,PARTNERPROGRAM!$D$7:$H$8,2,FALSE)),VLOOKUP('Perpetual Pricing (2)'!$D$1,XE!$A:$H,8,FALSE)),VLOOKUP('Perpetual Pricing (2)'!$D$1,XE!$A:$G,7,FALSE))</f>
        <v>473,900</v>
      </c>
      <c r="C182" t="str">
        <f t="shared" si="2"/>
        <v>CHF</v>
      </c>
    </row>
    <row r="183" spans="1:3">
      <c r="A183" s="42" t="str">
        <f>CONCATENATE(LEFT(BASE!G305,6),VLOOKUP('Perpetual Pricing (2)'!$D$1,XE!$A:$C,3,FALSE),MID(BASE!G305,9,1),IF('Perpetual Pricing (2)'!$D$2="Standard","S","G"),RIGHT(BASE!G305,7))</f>
        <v>SSSV50EUUG1200ZZZ</v>
      </c>
      <c r="B183" s="85" t="str">
        <f>TEXT(ROUND(VLOOKUP('Perpetual Pricing (2)'!$D$2,XE!$M$5:$N$6,2,FALSE)*BASE!F305*VLOOKUP('Perpetual Pricing (2)'!$D$1,XE!$A:$F,6,FALSE)* (HLOOKUP($D$3,PARTNERPROGRAM!$D$7:$H$8,2,FALSE)),VLOOKUP('Perpetual Pricing (2)'!$D$1,XE!$A:$H,8,FALSE)),VLOOKUP('Perpetual Pricing (2)'!$D$1,XE!$A:$G,7,FALSE))</f>
        <v>693,500</v>
      </c>
      <c r="C183" t="str">
        <f t="shared" si="2"/>
        <v>CHF</v>
      </c>
    </row>
    <row r="184" spans="1:3">
      <c r="A184" s="42" t="str">
        <f>CONCATENATE(LEFT(BASE!G306,6),VLOOKUP('Perpetual Pricing (2)'!$D$1,XE!$A:$C,3,FALSE),MID(BASE!G306,9,1),IF('Perpetual Pricing (2)'!$D$2="Standard","S","G"),RIGHT(BASE!G306,7))</f>
        <v>SSSV50EUUG2400ZZZ</v>
      </c>
      <c r="B184" s="85" t="str">
        <f>TEXT(ROUND(VLOOKUP('Perpetual Pricing (2)'!$D$2,XE!$M$5:$N$6,2,FALSE)*BASE!F306*VLOOKUP('Perpetual Pricing (2)'!$D$1,XE!$A:$F,6,FALSE)* (HLOOKUP($D$3,PARTNERPROGRAM!$D$7:$H$8,2,FALSE)),VLOOKUP('Perpetual Pricing (2)'!$D$1,XE!$A:$H,8,FALSE)),VLOOKUP('Perpetual Pricing (2)'!$D$1,XE!$A:$G,7,FALSE))</f>
        <v>1372,400</v>
      </c>
      <c r="C184" t="str">
        <f t="shared" si="2"/>
        <v>CHF</v>
      </c>
    </row>
    <row r="185" spans="1:3">
      <c r="A185" s="42" t="str">
        <f>CONCATENATE(LEFT(BASE!G307,6),VLOOKUP('Perpetual Pricing (2)'!$D$1,XE!$A:$C,3,FALSE),MID(BASE!G307,9,1),IF('Perpetual Pricing (2)'!$D$2="Standard","S","G"),RIGHT(BASE!G307,7))</f>
        <v>SSSV50EUUG5000ZZZ</v>
      </c>
      <c r="B185" s="85" t="str">
        <f>TEXT(ROUND(VLOOKUP('Perpetual Pricing (2)'!$D$2,XE!$M$5:$N$6,2,FALSE)*BASE!F307*VLOOKUP('Perpetual Pricing (2)'!$D$1,XE!$A:$F,6,FALSE)* (HLOOKUP($D$3,PARTNERPROGRAM!$D$7:$H$8,2,FALSE)),VLOOKUP('Perpetual Pricing (2)'!$D$1,XE!$A:$H,8,FALSE)),VLOOKUP('Perpetual Pricing (2)'!$D$1,XE!$A:$G,7,FALSE))</f>
        <v>2836,400</v>
      </c>
      <c r="C185" t="str">
        <f t="shared" si="2"/>
        <v>CHF</v>
      </c>
    </row>
    <row r="186" spans="1:3">
      <c r="A186" s="42" t="str">
        <f>CONCATENATE(LEFT(BASE!G316,6),VLOOKUP('Perpetual Pricing (2)'!$D$1,XE!$A:$C,3,FALSE),MID(BASE!G316,9,1),IF('Perpetual Pricing (2)'!$D$2="Standard","S","G"),RIGHT(BASE!G316,7))</f>
        <v>G25080EUUG0100ZZZ</v>
      </c>
      <c r="B186" s="85" t="str">
        <f>TEXT(ROUND(VLOOKUP('Perpetual Pricing (2)'!$D$2,XE!$M$5:$N$6,2,FALSE)*BASE!F316*VLOOKUP('Perpetual Pricing (2)'!$D$1,XE!$A:$F,6,FALSE)* (HLOOKUP($D$3,PARTNERPROGRAM!$D$7:$H$8,2,FALSE)),VLOOKUP('Perpetual Pricing (2)'!$D$1,XE!$A:$H,8,FALSE)),VLOOKUP('Perpetual Pricing (2)'!$D$1,XE!$A:$G,7,FALSE))</f>
        <v>182,600</v>
      </c>
      <c r="C186" t="str">
        <f t="shared" si="2"/>
        <v>CHF</v>
      </c>
    </row>
    <row r="187" spans="1:3">
      <c r="A187" s="42" t="str">
        <f>CONCATENATE(LEFT(BASE!G317,6),VLOOKUP('Perpetual Pricing (2)'!$D$1,XE!$A:$C,3,FALSE),MID(BASE!G317,9,1),IF('Perpetual Pricing (2)'!$D$2="Standard","S","G"),RIGHT(BASE!G317,7))</f>
        <v>GULM80EUUG0100ZZZ</v>
      </c>
      <c r="B187" s="85" t="str">
        <f>TEXT(ROUND(VLOOKUP('Perpetual Pricing (2)'!$D$2,XE!$M$5:$N$6,2,FALSE)*BASE!F317*VLOOKUP('Perpetual Pricing (2)'!$D$1,XE!$A:$F,6,FALSE)* (HLOOKUP($D$3,PARTNERPROGRAM!$D$7:$H$8,2,FALSE)),VLOOKUP('Perpetual Pricing (2)'!$D$1,XE!$A:$H,8,FALSE)),VLOOKUP('Perpetual Pricing (2)'!$D$1,XE!$A:$G,7,FALSE))</f>
        <v>329,00</v>
      </c>
      <c r="C187" t="str">
        <f t="shared" si="2"/>
        <v>CHF</v>
      </c>
    </row>
    <row r="188" spans="1:3">
      <c r="A188" s="42" t="str">
        <f>CONCATENATE(LEFT(BASE!G320,6),VLOOKUP('Perpetual Pricing (2)'!$D$1,XE!$A:$C,3,FALSE),MID(BASE!G320,9,1),IF('Perpetual Pricing (2)'!$D$2="Standard","S","G"),RIGHT(BASE!G320,7))</f>
        <v>GD2580EUUG0100ZZZ</v>
      </c>
      <c r="B188" s="85" t="str">
        <f>TEXT(ROUND(VLOOKUP('Perpetual Pricing (2)'!$D$2,XE!$M$5:$N$6,2,FALSE)*BASE!F320*VLOOKUP('Perpetual Pricing (2)'!$D$1,XE!$A:$F,6,FALSE)* (HLOOKUP($D$3,PARTNERPROGRAM!$D$7:$H$8,2,FALSE)),VLOOKUP('Perpetual Pricing (2)'!$D$1,XE!$A:$H,8,FALSE)),VLOOKUP('Perpetual Pricing (2)'!$D$1,XE!$A:$G,7,FALSE))</f>
        <v>548,600</v>
      </c>
      <c r="C188" t="str">
        <f t="shared" si="2"/>
        <v>CHF</v>
      </c>
    </row>
    <row r="189" spans="1:3">
      <c r="A189" s="42" t="str">
        <f>CONCATENATE(LEFT(BASE!G321,6),VLOOKUP('Perpetual Pricing (2)'!$D$1,XE!$A:$C,3,FALSE),MID(BASE!G321,9,1),IF('Perpetual Pricing (2)'!$D$2="Standard","S","G"),RIGHT(BASE!G321,7))</f>
        <v>GDUL80EUUG0100ZZZ</v>
      </c>
      <c r="B189" s="85" t="str">
        <f>TEXT(ROUND(VLOOKUP('Perpetual Pricing (2)'!$D$2,XE!$M$5:$N$6,2,FALSE)*BASE!F321*VLOOKUP('Perpetual Pricing (2)'!$D$1,XE!$A:$F,6,FALSE)* (HLOOKUP($D$3,PARTNERPROGRAM!$D$7:$H$8,2,FALSE)),VLOOKUP('Perpetual Pricing (2)'!$D$1,XE!$A:$H,8,FALSE)),VLOOKUP('Perpetual Pricing (2)'!$D$1,XE!$A:$G,7,FALSE))</f>
        <v>695,00</v>
      </c>
      <c r="C189" t="str">
        <f t="shared" si="2"/>
        <v>CHF</v>
      </c>
    </row>
    <row r="190" spans="1:3">
      <c r="A190" s="42" t="str">
        <f>CONCATENATE(LEFT(BASE!G352,6),VLOOKUP('Perpetual Pricing (2)'!$D$1,XE!$A:$C,3,FALSE),MID(BASE!G352,9,1),IF('Perpetual Pricing (2)'!$D$2="Standard","S","G"),RIGHT(BASE!G352,7))</f>
        <v>CSST70EUUG0100ZZN</v>
      </c>
      <c r="B190" s="85" t="str">
        <f>TEXT(ROUND(VLOOKUP('Perpetual Pricing (2)'!$D$2,XE!$M$5:$N$6,2,FALSE)*BASE!F352*VLOOKUP('Perpetual Pricing (2)'!$D$1,XE!$A:$F,6,FALSE)* (HLOOKUP($D$3,PARTNERPROGRAM!$D$7:$H$8,2,FALSE)),VLOOKUP('Perpetual Pricing (2)'!$D$1,XE!$A:$H,8,FALSE)),VLOOKUP('Perpetual Pricing (2)'!$D$1,XE!$A:$G,7,FALSE))</f>
        <v>109,400</v>
      </c>
      <c r="C190" t="str">
        <f t="shared" si="2"/>
        <v>CHF</v>
      </c>
    </row>
    <row r="191" spans="1:3">
      <c r="A191" s="42" t="str">
        <f>CONCATENATE(LEFT(BASE!G353,6),VLOOKUP('Perpetual Pricing (2)'!$D$1,XE!$A:$C,3,FALSE),MID(BASE!G353,9,1),IF('Perpetual Pricing (2)'!$D$2="Standard","S","G"),RIGHT(BASE!G353,7))</f>
        <v>CSST70EUUG0100ZZO</v>
      </c>
      <c r="B191" s="85" t="str">
        <f>TEXT(ROUND(VLOOKUP('Perpetual Pricing (2)'!$D$2,XE!$M$5:$N$6,2,FALSE)*BASE!F353*VLOOKUP('Perpetual Pricing (2)'!$D$1,XE!$A:$F,6,FALSE)* (HLOOKUP($D$3,PARTNERPROGRAM!$D$7:$H$8,2,FALSE)),VLOOKUP('Perpetual Pricing (2)'!$D$1,XE!$A:$H,8,FALSE)),VLOOKUP('Perpetual Pricing (2)'!$D$1,XE!$A:$G,7,FALSE))</f>
        <v>99,600</v>
      </c>
      <c r="C191" t="str">
        <f t="shared" si="2"/>
        <v>CHF</v>
      </c>
    </row>
    <row r="192" spans="1:3">
      <c r="A192" s="42" t="str">
        <f>CONCATENATE(LEFT(BASE!G354,6),VLOOKUP('Perpetual Pricing (2)'!$D$1,XE!$A:$C,3,FALSE),MID(BASE!G354,9,1),IF('Perpetual Pricing (2)'!$D$2="Standard","S","G"),RIGHT(BASE!G354,7))</f>
        <v>CSST70EUUG0100ZZP</v>
      </c>
      <c r="B192" s="85" t="str">
        <f>TEXT(ROUND(VLOOKUP('Perpetual Pricing (2)'!$D$2,XE!$M$5:$N$6,2,FALSE)*BASE!F354*VLOOKUP('Perpetual Pricing (2)'!$D$1,XE!$A:$F,6,FALSE)* (HLOOKUP($D$3,PARTNERPROGRAM!$D$7:$H$8,2,FALSE)),VLOOKUP('Perpetual Pricing (2)'!$D$1,XE!$A:$H,8,FALSE)),VLOOKUP('Perpetual Pricing (2)'!$D$1,XE!$A:$G,7,FALSE))</f>
        <v>96,100</v>
      </c>
      <c r="C192" t="str">
        <f t="shared" si="2"/>
        <v>CHF</v>
      </c>
    </row>
    <row r="193" spans="1:3">
      <c r="A193" s="42" t="str">
        <f>CONCATENATE(LEFT(BASE!I15,6),VLOOKUP('Perpetual Pricing (2)'!$D$1,XE!$A:$C,3,FALSE),MID(BASE!I15,9,1),IF('Perpetual Pricing (2)'!$D$2="Standard","S","G"),RIGHT(BASE!I15,7))</f>
        <v>XSPX00EUMG011YZZZ</v>
      </c>
      <c r="B193" s="85" t="str">
        <f>TEXT(ROUND(VLOOKUP('Perpetual Pricing (2)'!$D$2,XE!$M$5:$N$6,2,FALSE)*BASE!H15*VLOOKUP('Perpetual Pricing (2)'!$D$1,XE!$A:$F,6,FALSE)* (HLOOKUP($D$3,PARTNERPROGRAM!$D$7:$H$8,2,FALSE)),VLOOKUP('Perpetual Pricing (2)'!$D$1,XE!$A:$H,8,FALSE)),VLOOKUP('Perpetual Pricing (2)'!$D$1,XE!$A:$G,7,FALSE))</f>
        <v>160,300</v>
      </c>
      <c r="C193" t="str">
        <f t="shared" si="2"/>
        <v>CHF</v>
      </c>
    </row>
    <row r="194" spans="1:3">
      <c r="A194" s="42" t="str">
        <f>CONCATENATE(LEFT(BASE!I16,6),VLOOKUP('Perpetual Pricing (2)'!$D$1,XE!$A:$C,3,FALSE),MID(BASE!I16,9,1),IF('Perpetual Pricing (2)'!$D$2="Standard","S","G"),RIGHT(BASE!I16,7))</f>
        <v>XSPX00EUMG011YZZA</v>
      </c>
      <c r="B194" s="85" t="str">
        <f>TEXT(ROUND(VLOOKUP('Perpetual Pricing (2)'!$D$2,XE!$M$5:$N$6,2,FALSE)*BASE!H16*VLOOKUP('Perpetual Pricing (2)'!$D$1,XE!$A:$F,6,FALSE)* (HLOOKUP($D$3,PARTNERPROGRAM!$D$7:$H$8,2,FALSE)),VLOOKUP('Perpetual Pricing (2)'!$D$1,XE!$A:$H,8,FALSE)),VLOOKUP('Perpetual Pricing (2)'!$D$1,XE!$A:$G,7,FALSE))</f>
        <v>145,900</v>
      </c>
      <c r="C194" t="str">
        <f t="shared" si="2"/>
        <v>CHF</v>
      </c>
    </row>
    <row r="195" spans="1:3">
      <c r="A195" s="42" t="str">
        <f>CONCATENATE(LEFT(BASE!I17,6),VLOOKUP('Perpetual Pricing (2)'!$D$1,XE!$A:$C,3,FALSE),MID(BASE!I17,9,1),IF('Perpetual Pricing (2)'!$D$2="Standard","S","G"),RIGHT(BASE!I17,7))</f>
        <v>XSPX00EUMG011YZZB</v>
      </c>
      <c r="B195" s="85" t="str">
        <f>TEXT(ROUND(VLOOKUP('Perpetual Pricing (2)'!$D$2,XE!$M$5:$N$6,2,FALSE)*BASE!H17*VLOOKUP('Perpetual Pricing (2)'!$D$1,XE!$A:$F,6,FALSE)* (HLOOKUP($D$3,PARTNERPROGRAM!$D$7:$H$8,2,FALSE)),VLOOKUP('Perpetual Pricing (2)'!$D$1,XE!$A:$H,8,FALSE)),VLOOKUP('Perpetual Pricing (2)'!$D$1,XE!$A:$G,7,FALSE))</f>
        <v>122,900</v>
      </c>
      <c r="C195" t="str">
        <f t="shared" si="2"/>
        <v>CHF</v>
      </c>
    </row>
    <row r="196" spans="1:3">
      <c r="A196" s="42" t="str">
        <f>CONCATENATE(LEFT(BASE!I18,6),VLOOKUP('Perpetual Pricing (2)'!$D$1,XE!$A:$C,3,FALSE),MID(BASE!I18,9,1),IF('Perpetual Pricing (2)'!$D$2="Standard","S","G"),RIGHT(BASE!I18,7))</f>
        <v>XSPX00EUMG011YZZC</v>
      </c>
      <c r="B196" s="85" t="str">
        <f>TEXT(ROUND(VLOOKUP('Perpetual Pricing (2)'!$D$2,XE!$M$5:$N$6,2,FALSE)*BASE!H18*VLOOKUP('Perpetual Pricing (2)'!$D$1,XE!$A:$F,6,FALSE)* (HLOOKUP($D$3,PARTNERPROGRAM!$D$7:$H$8,2,FALSE)),VLOOKUP('Perpetual Pricing (2)'!$D$1,XE!$A:$H,8,FALSE)),VLOOKUP('Perpetual Pricing (2)'!$D$1,XE!$A:$G,7,FALSE))</f>
        <v>99,900</v>
      </c>
      <c r="C196" t="str">
        <f t="shared" si="2"/>
        <v>CHF</v>
      </c>
    </row>
    <row r="197" spans="1:3">
      <c r="A197" s="42" t="str">
        <f>CONCATENATE(LEFT(BASE!I26,6),VLOOKUP('Perpetual Pricing (2)'!$D$1,XE!$A:$C,3,FALSE),MID(BASE!I26,9,1),IF('Perpetual Pricing (2)'!$D$2="Standard","S","G"),RIGHT(BASE!I26,7))</f>
        <v>XSXW00EUMG011YZZZ</v>
      </c>
      <c r="B197" s="85" t="str">
        <f>TEXT(ROUND(VLOOKUP('Perpetual Pricing (2)'!$D$2,XE!$M$5:$N$6,2,FALSE)*BASE!H26*VLOOKUP('Perpetual Pricing (2)'!$D$1,XE!$A:$F,6,FALSE)* (HLOOKUP($D$3,PARTNERPROGRAM!$D$7:$H$8,2,FALSE)),VLOOKUP('Perpetual Pricing (2)'!$D$1,XE!$A:$H,8,FALSE)),VLOOKUP('Perpetual Pricing (2)'!$D$1,XE!$A:$G,7,FALSE))</f>
        <v>160,300</v>
      </c>
      <c r="C197" t="str">
        <f t="shared" si="2"/>
        <v>CHF</v>
      </c>
    </row>
    <row r="198" spans="1:3">
      <c r="A198" s="42" t="str">
        <f>CONCATENATE(LEFT(BASE!I27,6),VLOOKUP('Perpetual Pricing (2)'!$D$1,XE!$A:$C,3,FALSE),MID(BASE!I27,9,1),IF('Perpetual Pricing (2)'!$D$2="Standard","S","G"),RIGHT(BASE!I27,7))</f>
        <v>XSXW00EUMG011YZZA</v>
      </c>
      <c r="B198" s="85" t="str">
        <f>TEXT(ROUND(VLOOKUP('Perpetual Pricing (2)'!$D$2,XE!$M$5:$N$6,2,FALSE)*BASE!H27*VLOOKUP('Perpetual Pricing (2)'!$D$1,XE!$A:$F,6,FALSE)* (HLOOKUP($D$3,PARTNERPROGRAM!$D$7:$H$8,2,FALSE)),VLOOKUP('Perpetual Pricing (2)'!$D$1,XE!$A:$H,8,FALSE)),VLOOKUP('Perpetual Pricing (2)'!$D$1,XE!$A:$G,7,FALSE))</f>
        <v>145,900</v>
      </c>
      <c r="C198" t="str">
        <f t="shared" si="2"/>
        <v>CHF</v>
      </c>
    </row>
    <row r="199" spans="1:3">
      <c r="A199" s="42" t="str">
        <f>CONCATENATE(LEFT(BASE!I28,6),VLOOKUP('Perpetual Pricing (2)'!$D$1,XE!$A:$C,3,FALSE),MID(BASE!I28,9,1),IF('Perpetual Pricing (2)'!$D$2="Standard","S","G"),RIGHT(BASE!I28,7))</f>
        <v>XSXW00EUMG011YZZB</v>
      </c>
      <c r="B199" s="85" t="str">
        <f>TEXT(ROUND(VLOOKUP('Perpetual Pricing (2)'!$D$2,XE!$M$5:$N$6,2,FALSE)*BASE!H28*VLOOKUP('Perpetual Pricing (2)'!$D$1,XE!$A:$F,6,FALSE)* (HLOOKUP($D$3,PARTNERPROGRAM!$D$7:$H$8,2,FALSE)),VLOOKUP('Perpetual Pricing (2)'!$D$1,XE!$A:$H,8,FALSE)),VLOOKUP('Perpetual Pricing (2)'!$D$1,XE!$A:$G,7,FALSE))</f>
        <v>122,900</v>
      </c>
      <c r="C199" t="str">
        <f t="shared" si="2"/>
        <v>CHF</v>
      </c>
    </row>
    <row r="200" spans="1:3">
      <c r="A200" s="42" t="str">
        <f>CONCATENATE(LEFT(BASE!I29,6),VLOOKUP('Perpetual Pricing (2)'!$D$1,XE!$A:$C,3,FALSE),MID(BASE!I29,9,1),IF('Perpetual Pricing (2)'!$D$2="Standard","S","G"),RIGHT(BASE!I29,7))</f>
        <v>XSXW00EUMG011YZZC</v>
      </c>
      <c r="B200" s="85" t="str">
        <f>TEXT(ROUND(VLOOKUP('Perpetual Pricing (2)'!$D$2,XE!$M$5:$N$6,2,FALSE)*BASE!H29*VLOOKUP('Perpetual Pricing (2)'!$D$1,XE!$A:$F,6,FALSE)* (HLOOKUP($D$3,PARTNERPROGRAM!$D$7:$H$8,2,FALSE)),VLOOKUP('Perpetual Pricing (2)'!$D$1,XE!$A:$H,8,FALSE)),VLOOKUP('Perpetual Pricing (2)'!$D$1,XE!$A:$G,7,FALSE))</f>
        <v>99,900</v>
      </c>
      <c r="C200" t="str">
        <f t="shared" ref="C200:C263" si="3">RIGHT($B$6,3)</f>
        <v>CHF</v>
      </c>
    </row>
    <row r="201" spans="1:3">
      <c r="A201" s="42" t="str">
        <f>CONCATENATE(LEFT(BASE!I65,6),VLOOKUP('Perpetual Pricing (2)'!$D$1,XE!$A:$C,3,FALSE),MID(BASE!I65,9,1),IF('Perpetual Pricing (2)'!$D$2="Standard","S","G"),RIGHT(BASE!I65,7))</f>
        <v>QBUS00EUMG011YZZZ</v>
      </c>
      <c r="B201" s="85" t="str">
        <f>TEXT(ROUND(VLOOKUP('Perpetual Pricing (2)'!$D$2,XE!$M$5:$N$6,2,FALSE)*BASE!H65*VLOOKUP('Perpetual Pricing (2)'!$D$1,XE!$A:$F,6,FALSE)* (HLOOKUP($D$3,PARTNERPROGRAM!$D$7:$H$8,2,FALSE)),VLOOKUP('Perpetual Pricing (2)'!$D$1,XE!$A:$H,8,FALSE)),VLOOKUP('Perpetual Pricing (2)'!$D$1,XE!$A:$G,7,FALSE))</f>
        <v>80,400</v>
      </c>
      <c r="C201" t="str">
        <f t="shared" si="3"/>
        <v>CHF</v>
      </c>
    </row>
    <row r="202" spans="1:3">
      <c r="A202" s="42" t="str">
        <f>CONCATENATE(LEFT(BASE!I66,6),VLOOKUP('Perpetual Pricing (2)'!$D$1,XE!$A:$C,3,FALSE),MID(BASE!I66,9,1),IF('Perpetual Pricing (2)'!$D$2="Standard","S","G"),RIGHT(BASE!I66,7))</f>
        <v>QSXP00EUMG021YZZZ</v>
      </c>
      <c r="B202" s="85" t="str">
        <f>TEXT(ROUND(VLOOKUP('Perpetual Pricing (2)'!$D$2,XE!$M$5:$N$6,2,FALSE)*BASE!H66*VLOOKUP('Perpetual Pricing (2)'!$D$1,XE!$A:$F,6,FALSE)* (HLOOKUP($D$3,PARTNERPROGRAM!$D$7:$H$8,2,FALSE)),VLOOKUP('Perpetual Pricing (2)'!$D$1,XE!$A:$H,8,FALSE)),VLOOKUP('Perpetual Pricing (2)'!$D$1,XE!$A:$G,7,FALSE))</f>
        <v>194,700</v>
      </c>
      <c r="C202" t="str">
        <f t="shared" si="3"/>
        <v>CHF</v>
      </c>
    </row>
    <row r="203" spans="1:3">
      <c r="A203" s="42" t="str">
        <f>CONCATENATE(LEFT(BASE!I83,6),VLOOKUP('Perpetual Pricing (2)'!$D$1,XE!$A:$C,3,FALSE),MID(BASE!I83,9,1),IF('Perpetual Pricing (2)'!$D$2="Standard","S","G"),RIGHT(BASE!I83,7))</f>
        <v>KXDW00EUMG011YZZZ</v>
      </c>
      <c r="B203" s="85" t="str">
        <f>TEXT(ROUND(VLOOKUP('Perpetual Pricing (2)'!$D$2,XE!$M$5:$N$6,2,FALSE)*BASE!H83*VLOOKUP('Perpetual Pricing (2)'!$D$1,XE!$A:$F,6,FALSE)* (HLOOKUP($D$3,PARTNERPROGRAM!$D$7:$H$8,2,FALSE)),VLOOKUP('Perpetual Pricing (2)'!$D$1,XE!$A:$H,8,FALSE)),VLOOKUP('Perpetual Pricing (2)'!$D$1,XE!$A:$G,7,FALSE))</f>
        <v>14,600</v>
      </c>
      <c r="C203" t="str">
        <f t="shared" si="3"/>
        <v>CHF</v>
      </c>
    </row>
    <row r="204" spans="1:3">
      <c r="A204" s="42" t="str">
        <f>CONCATENATE(LEFT(BASE!I84,6),VLOOKUP('Perpetual Pricing (2)'!$D$1,XE!$A:$C,3,FALSE),MID(BASE!I84,9,1),IF('Perpetual Pricing (2)'!$D$2="Standard","S","G"),RIGHT(BASE!I84,7))</f>
        <v>KXDW00EUMG011YZZA</v>
      </c>
      <c r="B204" s="85" t="str">
        <f>TEXT(ROUND(VLOOKUP('Perpetual Pricing (2)'!$D$2,XE!$M$5:$N$6,2,FALSE)*BASE!H84*VLOOKUP('Perpetual Pricing (2)'!$D$1,XE!$A:$F,6,FALSE)* (HLOOKUP($D$3,PARTNERPROGRAM!$D$7:$H$8,2,FALSE)),VLOOKUP('Perpetual Pricing (2)'!$D$1,XE!$A:$H,8,FALSE)),VLOOKUP('Perpetual Pricing (2)'!$D$1,XE!$A:$G,7,FALSE))</f>
        <v>13,300</v>
      </c>
      <c r="C204" t="str">
        <f t="shared" si="3"/>
        <v>CHF</v>
      </c>
    </row>
    <row r="205" spans="1:3">
      <c r="A205" s="42" t="str">
        <f>CONCATENATE(LEFT(BASE!I85,6),VLOOKUP('Perpetual Pricing (2)'!$D$1,XE!$A:$C,3,FALSE),MID(BASE!I85,9,1),IF('Perpetual Pricing (2)'!$D$2="Standard","S","G"),RIGHT(BASE!I85,7))</f>
        <v>KXDW00EUMG011YZZB</v>
      </c>
      <c r="B205" s="85" t="str">
        <f>TEXT(ROUND(VLOOKUP('Perpetual Pricing (2)'!$D$2,XE!$M$5:$N$6,2,FALSE)*BASE!H85*VLOOKUP('Perpetual Pricing (2)'!$D$1,XE!$A:$F,6,FALSE)* (HLOOKUP($D$3,PARTNERPROGRAM!$D$7:$H$8,2,FALSE)),VLOOKUP('Perpetual Pricing (2)'!$D$1,XE!$A:$H,8,FALSE)),VLOOKUP('Perpetual Pricing (2)'!$D$1,XE!$A:$G,7,FALSE))</f>
        <v>11,200</v>
      </c>
      <c r="C205" t="str">
        <f t="shared" si="3"/>
        <v>CHF</v>
      </c>
    </row>
    <row r="206" spans="1:3">
      <c r="A206" s="42" t="str">
        <f>CONCATENATE(LEFT(BASE!I86,6),VLOOKUP('Perpetual Pricing (2)'!$D$1,XE!$A:$C,3,FALSE),MID(BASE!I86,9,1),IF('Perpetual Pricing (2)'!$D$2="Standard","S","G"),RIGHT(BASE!I86,7))</f>
        <v>KXDW00EUMG011YZZC</v>
      </c>
      <c r="B206" s="85" t="str">
        <f>TEXT(ROUND(VLOOKUP('Perpetual Pricing (2)'!$D$2,XE!$M$5:$N$6,2,FALSE)*BASE!H86*VLOOKUP('Perpetual Pricing (2)'!$D$1,XE!$A:$F,6,FALSE)* (HLOOKUP($D$3,PARTNERPROGRAM!$D$7:$H$8,2,FALSE)),VLOOKUP('Perpetual Pricing (2)'!$D$1,XE!$A:$H,8,FALSE)),VLOOKUP('Perpetual Pricing (2)'!$D$1,XE!$A:$G,7,FALSE))</f>
        <v>9,100</v>
      </c>
      <c r="C206" t="str">
        <f t="shared" si="3"/>
        <v>CHF</v>
      </c>
    </row>
    <row r="207" spans="1:3">
      <c r="A207" s="42" t="str">
        <f>CONCATENATE(LEFT(BASE!I87,6),VLOOKUP('Perpetual Pricing (2)'!$D$1,XE!$A:$C,3,FALSE),MID(BASE!I87,9,1),IF('Perpetual Pricing (2)'!$D$2="Standard","S","G"),RIGHT(BASE!I87,7))</f>
        <v>KXDW00EUMG031YZZZ</v>
      </c>
      <c r="B207" s="222" t="str">
        <f>TEXT(ROUND(VLOOKUP('Perpetual Pricing (2)'!$D$2,XE!$M$5:$N$6,2,FALSE)*BASE!H87*VLOOKUP('Perpetual Pricing (2)'!$D$1,XE!$A:$F,6,FALSE)* (HLOOKUP($D$3,PARTNERPROGRAM!$D$7:$H$8,2,FALSE)),VLOOKUP('Perpetual Pricing (2)'!$D$1,XE!$A:$H,8,FALSE)),VLOOKUP('Perpetual Pricing (2)'!$D$1,XE!$A:$G,7,FALSE))</f>
        <v>34,200</v>
      </c>
      <c r="C207" t="str">
        <f t="shared" si="3"/>
        <v>CHF</v>
      </c>
    </row>
    <row r="208" spans="1:3">
      <c r="A208" s="42" t="str">
        <f>CONCATENATE(LEFT(BASE!I109,6),VLOOKUP('Perpetual Pricing (2)'!$D$1,XE!$A:$C,3,FALSE),MID(BASE!I109,9,1),IF('Perpetual Pricing (2)'!$D$2="Standard","S","G"),RIGHT(BASE!I109,7))</f>
        <v>XESS00EUMG011YZZZ</v>
      </c>
      <c r="B208" s="85" t="str">
        <f>TEXT(ROUND(VLOOKUP('Perpetual Pricing (2)'!$D$2,XE!$M$5:$N$6,2,FALSE)*BASE!H109*VLOOKUP('Perpetual Pricing (2)'!$D$1,XE!$A:$F,6,FALSE)* (HLOOKUP($D$3,PARTNERPROGRAM!$D$7:$H$8,2,FALSE)),VLOOKUP('Perpetual Pricing (2)'!$D$1,XE!$A:$H,8,FALSE)),VLOOKUP('Perpetual Pricing (2)'!$D$1,XE!$A:$G,7,FALSE))</f>
        <v>233,500</v>
      </c>
      <c r="C208" t="str">
        <f t="shared" si="3"/>
        <v>CHF</v>
      </c>
    </row>
    <row r="209" spans="1:3">
      <c r="A209" s="42" t="str">
        <f>CONCATENATE(LEFT(BASE!I110,6),VLOOKUP('Perpetual Pricing (2)'!$D$1,XE!$A:$C,3,FALSE),MID(BASE!I110,9,1),IF('Perpetual Pricing (2)'!$D$2="Standard","S","G"),RIGHT(BASE!I110,7))</f>
        <v>XSTD00EUMG011YZZZ</v>
      </c>
      <c r="B209" s="85" t="str">
        <f>TEXT(ROUND(VLOOKUP('Perpetual Pricing (2)'!$D$2,XE!$M$5:$N$6,2,FALSE)*BASE!H110*VLOOKUP('Perpetual Pricing (2)'!$D$1,XE!$A:$F,6,FALSE)* (HLOOKUP($D$3,PARTNERPROGRAM!$D$7:$H$8,2,FALSE)),VLOOKUP('Perpetual Pricing (2)'!$D$1,XE!$A:$H,8,FALSE)),VLOOKUP('Perpetual Pricing (2)'!$D$1,XE!$A:$G,7,FALSE))</f>
        <v>248,100</v>
      </c>
      <c r="C209" t="str">
        <f t="shared" si="3"/>
        <v>CHF</v>
      </c>
    </row>
    <row r="210" spans="1:3">
      <c r="A210" s="42" t="str">
        <f>CONCATENATE(LEFT(BASE!I132,6),VLOOKUP('Perpetual Pricing (2)'!$D$1,XE!$A:$C,3,FALSE),MID(BASE!I132,9,1),IF('Perpetual Pricing (2)'!$D$2="Standard","S","G"),RIGHT(BASE!I132,7))</f>
        <v>XSVS00EUMG011YZZZ</v>
      </c>
      <c r="B210" s="85" t="str">
        <f>TEXT(ROUND(VLOOKUP('Perpetual Pricing (2)'!$D$2,XE!$M$5:$N$6,2,FALSE)*BASE!H132*VLOOKUP('Perpetual Pricing (2)'!$D$1,XE!$A:$F,6,FALSE)* (HLOOKUP($D$3,PARTNERPROGRAM!$D$7:$H$8,2,FALSE)),VLOOKUP('Perpetual Pricing (2)'!$D$1,XE!$A:$H,8,FALSE)),VLOOKUP('Perpetual Pricing (2)'!$D$1,XE!$A:$G,7,FALSE))</f>
        <v>57,800</v>
      </c>
      <c r="C210" t="str">
        <f t="shared" si="3"/>
        <v>CHF</v>
      </c>
    </row>
    <row r="211" spans="1:3">
      <c r="A211" s="42" t="str">
        <f>CONCATENATE(LEFT(BASE!I133,6),VLOOKUP('Perpetual Pricing (2)'!$D$1,XE!$A:$C,3,FALSE),MID(BASE!I133,9,1),IF('Perpetual Pricing (2)'!$D$2="Standard","S","G"),RIGHT(BASE!I133,7))</f>
        <v>XSVS00EUMG031YZZZ</v>
      </c>
      <c r="B211" s="85" t="str">
        <f>TEXT(ROUND(VLOOKUP('Perpetual Pricing (2)'!$D$2,XE!$M$5:$N$6,2,FALSE)*BASE!H133*VLOOKUP('Perpetual Pricing (2)'!$D$1,XE!$A:$F,6,FALSE)* (HLOOKUP($D$3,PARTNERPROGRAM!$D$7:$H$8,2,FALSE)),VLOOKUP('Perpetual Pricing (2)'!$D$1,XE!$A:$H,8,FALSE)),VLOOKUP('Perpetual Pricing (2)'!$D$1,XE!$A:$G,7,FALSE))</f>
        <v>145,700</v>
      </c>
      <c r="C211" t="str">
        <f t="shared" si="3"/>
        <v>CHF</v>
      </c>
    </row>
    <row r="212" spans="1:3">
      <c r="A212" s="42" t="str">
        <f>CONCATENATE(LEFT(BASE!I134,6),VLOOKUP('Perpetual Pricing (2)'!$D$1,XE!$A:$C,3,FALSE),MID(BASE!I134,9,1),IF('Perpetual Pricing (2)'!$D$2="Standard","S","G"),RIGHT(BASE!I134,7))</f>
        <v>XSVS00EUMG101YZZZ</v>
      </c>
      <c r="B212" s="85" t="str">
        <f>TEXT(ROUND(VLOOKUP('Perpetual Pricing (2)'!$D$2,XE!$M$5:$N$6,2,FALSE)*BASE!H134*VLOOKUP('Perpetual Pricing (2)'!$D$1,XE!$A:$F,6,FALSE)* (HLOOKUP($D$3,PARTNERPROGRAM!$D$7:$H$8,2,FALSE)),VLOOKUP('Perpetual Pricing (2)'!$D$1,XE!$A:$H,8,FALSE)),VLOOKUP('Perpetual Pricing (2)'!$D$1,XE!$A:$G,7,FALSE))</f>
        <v>350,600</v>
      </c>
      <c r="C212" t="str">
        <f t="shared" si="3"/>
        <v>CHF</v>
      </c>
    </row>
    <row r="213" spans="1:3">
      <c r="A213" s="42" t="str">
        <f>CONCATENATE(LEFT(BASE!I135,6),VLOOKUP('Perpetual Pricing (2)'!$D$1,XE!$A:$C,3,FALSE),MID(BASE!I135,9,1),IF('Perpetual Pricing (2)'!$D$2="Standard","S","G"),RIGHT(BASE!I135,7))</f>
        <v>XSVS00EUMG061YZZZ</v>
      </c>
      <c r="B213" s="85" t="str">
        <f>TEXT(ROUND(VLOOKUP('Perpetual Pricing (2)'!$D$2,XE!$M$5:$N$6,2,FALSE)*BASE!H135*VLOOKUP('Perpetual Pricing (2)'!$D$1,XE!$A:$F,6,FALSE)* (HLOOKUP($D$3,PARTNERPROGRAM!$D$7:$H$8,2,FALSE)),VLOOKUP('Perpetual Pricing (2)'!$D$1,XE!$A:$H,8,FALSE)),VLOOKUP('Perpetual Pricing (2)'!$D$1,XE!$A:$G,7,FALSE))</f>
        <v>189,600</v>
      </c>
      <c r="C213" t="str">
        <f t="shared" si="3"/>
        <v>CHF</v>
      </c>
    </row>
    <row r="214" spans="1:3">
      <c r="A214" s="42" t="str">
        <f>CONCATENATE(LEFT(BASE!I136,6),VLOOKUP('Perpetual Pricing (2)'!$D$1,XE!$A:$C,3,FALSE),MID(BASE!I136,9,1),IF('Perpetual Pricing (2)'!$D$2="Standard","S","G"),RIGHT(BASE!I136,7))</f>
        <v>XSVS00EUMG121YZZZ</v>
      </c>
      <c r="B214" s="85" t="str">
        <f>TEXT(ROUND(VLOOKUP('Perpetual Pricing (2)'!$D$2,XE!$M$5:$N$6,2,FALSE)*BASE!H136*VLOOKUP('Perpetual Pricing (2)'!$D$1,XE!$A:$F,6,FALSE)* (HLOOKUP($D$3,PARTNERPROGRAM!$D$7:$H$8,2,FALSE)),VLOOKUP('Perpetual Pricing (2)'!$D$1,XE!$A:$H,8,FALSE)),VLOOKUP('Perpetual Pricing (2)'!$D$1,XE!$A:$G,7,FALSE))</f>
        <v>277,400</v>
      </c>
      <c r="C214" t="str">
        <f t="shared" si="3"/>
        <v>CHF</v>
      </c>
    </row>
    <row r="215" spans="1:3">
      <c r="A215" s="42" t="str">
        <f>CONCATENATE(LEFT(BASE!I137,6),VLOOKUP('Perpetual Pricing (2)'!$D$1,XE!$A:$C,3,FALSE),MID(BASE!I137,9,1),IF('Perpetual Pricing (2)'!$D$2="Standard","S","G"),RIGHT(BASE!I137,7))</f>
        <v>XSVS00EUMG241YZZZ</v>
      </c>
      <c r="B215" s="85" t="str">
        <f>TEXT(ROUND(VLOOKUP('Perpetual Pricing (2)'!$D$2,XE!$M$5:$N$6,2,FALSE)*BASE!H137*VLOOKUP('Perpetual Pricing (2)'!$D$1,XE!$A:$F,6,FALSE)* (HLOOKUP($D$3,PARTNERPROGRAM!$D$7:$H$8,2,FALSE)),VLOOKUP('Perpetual Pricing (2)'!$D$1,XE!$A:$H,8,FALSE)),VLOOKUP('Perpetual Pricing (2)'!$D$1,XE!$A:$G,7,FALSE))</f>
        <v>549,00</v>
      </c>
      <c r="C215" t="str">
        <f t="shared" si="3"/>
        <v>CHF</v>
      </c>
    </row>
    <row r="216" spans="1:3">
      <c r="A216" s="42" t="str">
        <f>CONCATENATE(LEFT(BASE!I138,6),VLOOKUP('Perpetual Pricing (2)'!$D$1,XE!$A:$C,3,FALSE),MID(BASE!I138,9,1),IF('Perpetual Pricing (2)'!$D$2="Standard","S","G"),RIGHT(BASE!I138,7))</f>
        <v>XSVS00EUMG501YZZZ</v>
      </c>
      <c r="B216" s="85" t="str">
        <f>TEXT(ROUND(VLOOKUP('Perpetual Pricing (2)'!$D$2,XE!$M$5:$N$6,2,FALSE)*BASE!H138*VLOOKUP('Perpetual Pricing (2)'!$D$1,XE!$A:$F,6,FALSE)* (HLOOKUP($D$3,PARTNERPROGRAM!$D$7:$H$8,2,FALSE)),VLOOKUP('Perpetual Pricing (2)'!$D$1,XE!$A:$H,8,FALSE)),VLOOKUP('Perpetual Pricing (2)'!$D$1,XE!$A:$G,7,FALSE))</f>
        <v>1134,500</v>
      </c>
      <c r="C216" t="str">
        <f t="shared" si="3"/>
        <v>CHF</v>
      </c>
    </row>
    <row r="217" spans="1:3">
      <c r="A217" s="42" t="str">
        <f>CONCATENATE(LEFT(BASE!I147,6),VLOOKUP('Perpetual Pricing (2)'!$D$1,XE!$A:$C,3,FALSE),MID(BASE!I147,9,1),IF('Perpetual Pricing (2)'!$D$2="Standard","S","G"),RIGHT(BASE!I147,7))</f>
        <v>XSVW00EUMG011YZZZ</v>
      </c>
      <c r="B217" s="85" t="str">
        <f>TEXT(ROUND(VLOOKUP('Perpetual Pricing (2)'!$D$2,XE!$M$5:$N$6,2,FALSE)*BASE!H147*VLOOKUP('Perpetual Pricing (2)'!$D$1,XE!$A:$F,6,FALSE)* (HLOOKUP($D$3,PARTNERPROGRAM!$D$7:$H$8,2,FALSE)),VLOOKUP('Perpetual Pricing (2)'!$D$1,XE!$A:$H,8,FALSE)),VLOOKUP('Perpetual Pricing (2)'!$D$1,XE!$A:$G,7,FALSE))</f>
        <v>57,800</v>
      </c>
      <c r="C217" t="str">
        <f t="shared" si="3"/>
        <v>CHF</v>
      </c>
    </row>
    <row r="218" spans="1:3">
      <c r="A218" s="42" t="str">
        <f>CONCATENATE(LEFT(BASE!I148,6),VLOOKUP('Perpetual Pricing (2)'!$D$1,XE!$A:$C,3,FALSE),MID(BASE!I148,9,1),IF('Perpetual Pricing (2)'!$D$2="Standard","S","G"),RIGHT(BASE!I148,7))</f>
        <v>XSVW00EUMG031YZZZ</v>
      </c>
      <c r="B218" s="85" t="str">
        <f>TEXT(ROUND(VLOOKUP('Perpetual Pricing (2)'!$D$2,XE!$M$5:$N$6,2,FALSE)*BASE!H148*VLOOKUP('Perpetual Pricing (2)'!$D$1,XE!$A:$F,6,FALSE)* (HLOOKUP($D$3,PARTNERPROGRAM!$D$7:$H$8,2,FALSE)),VLOOKUP('Perpetual Pricing (2)'!$D$1,XE!$A:$H,8,FALSE)),VLOOKUP('Perpetual Pricing (2)'!$D$1,XE!$A:$G,7,FALSE))</f>
        <v>145,700</v>
      </c>
      <c r="C218" t="str">
        <f t="shared" si="3"/>
        <v>CHF</v>
      </c>
    </row>
    <row r="219" spans="1:3">
      <c r="A219" s="42" t="str">
        <f>CONCATENATE(LEFT(BASE!I149,6),VLOOKUP('Perpetual Pricing (2)'!$D$1,XE!$A:$C,3,FALSE),MID(BASE!I149,9,1),IF('Perpetual Pricing (2)'!$D$2="Standard","S","G"),RIGHT(BASE!I149,7))</f>
        <v>XSVW00EUMG101YZZZ</v>
      </c>
      <c r="B219" s="85" t="str">
        <f>TEXT(ROUND(VLOOKUP('Perpetual Pricing (2)'!$D$2,XE!$M$5:$N$6,2,FALSE)*BASE!H149*VLOOKUP('Perpetual Pricing (2)'!$D$1,XE!$A:$F,6,FALSE)* (HLOOKUP($D$3,PARTNERPROGRAM!$D$7:$H$8,2,FALSE)),VLOOKUP('Perpetual Pricing (2)'!$D$1,XE!$A:$H,8,FALSE)),VLOOKUP('Perpetual Pricing (2)'!$D$1,XE!$A:$G,7,FALSE))</f>
        <v>350,600</v>
      </c>
      <c r="C219" t="str">
        <f t="shared" si="3"/>
        <v>CHF</v>
      </c>
    </row>
    <row r="220" spans="1:3">
      <c r="A220" s="42" t="str">
        <f>CONCATENATE(LEFT(BASE!I150,6),VLOOKUP('Perpetual Pricing (2)'!$D$1,XE!$A:$C,3,FALSE),MID(BASE!I150,9,1),IF('Perpetual Pricing (2)'!$D$2="Standard","S","G"),RIGHT(BASE!I150,7))</f>
        <v>XSVW00EUMG061YZZZ</v>
      </c>
      <c r="B220" s="85" t="str">
        <f>TEXT(ROUND(VLOOKUP('Perpetual Pricing (2)'!$D$2,XE!$M$5:$N$6,2,FALSE)*BASE!H150*VLOOKUP('Perpetual Pricing (2)'!$D$1,XE!$A:$F,6,FALSE)* (HLOOKUP($D$3,PARTNERPROGRAM!$D$7:$H$8,2,FALSE)),VLOOKUP('Perpetual Pricing (2)'!$D$1,XE!$A:$H,8,FALSE)),VLOOKUP('Perpetual Pricing (2)'!$D$1,XE!$A:$G,7,FALSE))</f>
        <v>189,600</v>
      </c>
      <c r="C220" t="str">
        <f t="shared" si="3"/>
        <v>CHF</v>
      </c>
    </row>
    <row r="221" spans="1:3">
      <c r="A221" s="42" t="str">
        <f>CONCATENATE(LEFT(BASE!I151,6),VLOOKUP('Perpetual Pricing (2)'!$D$1,XE!$A:$C,3,FALSE),MID(BASE!I151,9,1),IF('Perpetual Pricing (2)'!$D$2="Standard","S","G"),RIGHT(BASE!I151,7))</f>
        <v>XSVW00EUMG121YZZZ</v>
      </c>
      <c r="B221" s="85" t="str">
        <f>TEXT(ROUND(VLOOKUP('Perpetual Pricing (2)'!$D$2,XE!$M$5:$N$6,2,FALSE)*BASE!H151*VLOOKUP('Perpetual Pricing (2)'!$D$1,XE!$A:$F,6,FALSE)* (HLOOKUP($D$3,PARTNERPROGRAM!$D$7:$H$8,2,FALSE)),VLOOKUP('Perpetual Pricing (2)'!$D$1,XE!$A:$H,8,FALSE)),VLOOKUP('Perpetual Pricing (2)'!$D$1,XE!$A:$G,7,FALSE))</f>
        <v>277,400</v>
      </c>
      <c r="C221" t="str">
        <f t="shared" si="3"/>
        <v>CHF</v>
      </c>
    </row>
    <row r="222" spans="1:3">
      <c r="A222" s="42" t="str">
        <f>CONCATENATE(LEFT(BASE!I152,6),VLOOKUP('Perpetual Pricing (2)'!$D$1,XE!$A:$C,3,FALSE),MID(BASE!I152,9,1),IF('Perpetual Pricing (2)'!$D$2="Standard","S","G"),RIGHT(BASE!I152,7))</f>
        <v>XSVW00EUMG241YZZZ</v>
      </c>
      <c r="B222" s="85" t="str">
        <f>TEXT(ROUND(VLOOKUP('Perpetual Pricing (2)'!$D$2,XE!$M$5:$N$6,2,FALSE)*BASE!H152*VLOOKUP('Perpetual Pricing (2)'!$D$1,XE!$A:$F,6,FALSE)* (HLOOKUP($D$3,PARTNERPROGRAM!$D$7:$H$8,2,FALSE)),VLOOKUP('Perpetual Pricing (2)'!$D$1,XE!$A:$H,8,FALSE)),VLOOKUP('Perpetual Pricing (2)'!$D$1,XE!$A:$G,7,FALSE))</f>
        <v>549,00</v>
      </c>
      <c r="C222" t="str">
        <f t="shared" si="3"/>
        <v>CHF</v>
      </c>
    </row>
    <row r="223" spans="1:3">
      <c r="A223" s="42" t="str">
        <f>CONCATENATE(LEFT(BASE!I153,6),VLOOKUP('Perpetual Pricing (2)'!$D$1,XE!$A:$C,3,FALSE),MID(BASE!I153,9,1),IF('Perpetual Pricing (2)'!$D$2="Standard","S","G"),RIGHT(BASE!I153,7))</f>
        <v>XSVW00EUMG501YZZZ</v>
      </c>
      <c r="B223" s="85" t="str">
        <f>TEXT(ROUND(VLOOKUP('Perpetual Pricing (2)'!$D$2,XE!$M$5:$N$6,2,FALSE)*BASE!H153*VLOOKUP('Perpetual Pricing (2)'!$D$1,XE!$A:$F,6,FALSE)* (HLOOKUP($D$3,PARTNERPROGRAM!$D$7:$H$8,2,FALSE)),VLOOKUP('Perpetual Pricing (2)'!$D$1,XE!$A:$H,8,FALSE)),VLOOKUP('Perpetual Pricing (2)'!$D$1,XE!$A:$G,7,FALSE))</f>
        <v>1134,500</v>
      </c>
      <c r="C223" t="str">
        <f t="shared" si="3"/>
        <v>CHF</v>
      </c>
    </row>
    <row r="224" spans="1:3">
      <c r="A224" s="42" t="str">
        <f>CONCATENATE(LEFT(BASE!I190,6),VLOOKUP('Perpetual Pricing (2)'!$D$1,XE!$A:$C,3,FALSE),MID(BASE!I190,9,1),IF('Perpetual Pricing (2)'!$D$2="Standard","S","G"),RIGHT(BASE!I190,7))</f>
        <v>KXWK00EUMG061YZZZ</v>
      </c>
      <c r="B224" s="85" t="str">
        <f>TEXT(ROUND(VLOOKUP('Perpetual Pricing (2)'!$D$2,XE!$M$5:$N$6,2,FALSE)*BASE!H190*VLOOKUP('Perpetual Pricing (2)'!$D$1,XE!$A:$F,6,FALSE)* (HLOOKUP($D$3,PARTNERPROGRAM!$D$7:$H$8,2,FALSE)),VLOOKUP('Perpetual Pricing (2)'!$D$1,XE!$A:$H,8,FALSE)),VLOOKUP('Perpetual Pricing (2)'!$D$1,XE!$A:$G,7,FALSE))</f>
        <v>37,500</v>
      </c>
      <c r="C224" t="str">
        <f t="shared" si="3"/>
        <v>CHF</v>
      </c>
    </row>
    <row r="225" spans="1:3">
      <c r="A225" s="42" t="str">
        <f>CONCATENATE(LEFT(BASE!I191,6),VLOOKUP('Perpetual Pricing (2)'!$D$1,XE!$A:$C,3,FALSE),MID(BASE!I191,9,1),IF('Perpetual Pricing (2)'!$D$2="Standard","S","G"),RIGHT(BASE!I191,7))</f>
        <v>KXWK00EUMG121YZZZ</v>
      </c>
      <c r="B225" s="85" t="str">
        <f>TEXT(ROUND(VLOOKUP('Perpetual Pricing (2)'!$D$2,XE!$M$5:$N$6,2,FALSE)*BASE!H191*VLOOKUP('Perpetual Pricing (2)'!$D$1,XE!$A:$F,6,FALSE)* (HLOOKUP($D$3,PARTNERPROGRAM!$D$7:$H$8,2,FALSE)),VLOOKUP('Perpetual Pricing (2)'!$D$1,XE!$A:$H,8,FALSE)),VLOOKUP('Perpetual Pricing (2)'!$D$1,XE!$A:$G,7,FALSE))</f>
        <v>71,400</v>
      </c>
      <c r="C225" t="str">
        <f t="shared" si="3"/>
        <v>CHF</v>
      </c>
    </row>
    <row r="226" spans="1:3">
      <c r="A226" s="42" t="str">
        <f>CONCATENATE(LEFT(BASE!I192,6),VLOOKUP('Perpetual Pricing (2)'!$D$1,XE!$A:$C,3,FALSE),MID(BASE!I192,9,1),IF('Perpetual Pricing (2)'!$D$2="Standard","S","G"),RIGHT(BASE!I192,7))</f>
        <v>KXWK00EUMG241YZZZ</v>
      </c>
      <c r="B226" s="85" t="str">
        <f>TEXT(ROUND(VLOOKUP('Perpetual Pricing (2)'!$D$2,XE!$M$5:$N$6,2,FALSE)*BASE!H192*VLOOKUP('Perpetual Pricing (2)'!$D$1,XE!$A:$F,6,FALSE)* (HLOOKUP($D$3,PARTNERPROGRAM!$D$7:$H$8,2,FALSE)),VLOOKUP('Perpetual Pricing (2)'!$D$1,XE!$A:$H,8,FALSE)),VLOOKUP('Perpetual Pricing (2)'!$D$1,XE!$A:$G,7,FALSE))</f>
        <v>136,400</v>
      </c>
      <c r="C226" t="str">
        <f t="shared" si="3"/>
        <v>CHF</v>
      </c>
    </row>
    <row r="227" spans="1:3">
      <c r="A227" s="42" t="str">
        <f>CONCATENATE(LEFT(BASE!I193,6),VLOOKUP('Perpetual Pricing (2)'!$D$1,XE!$A:$C,3,FALSE),MID(BASE!I193,9,1),IF('Perpetual Pricing (2)'!$D$2="Standard","S","G"),RIGHT(BASE!I193,7))</f>
        <v>KXWK00EUMG501YZZZ</v>
      </c>
      <c r="B227" s="85" t="str">
        <f>TEXT(ROUND(VLOOKUP('Perpetual Pricing (2)'!$D$2,XE!$M$5:$N$6,2,FALSE)*BASE!H193*VLOOKUP('Perpetual Pricing (2)'!$D$1,XE!$A:$F,6,FALSE)* (HLOOKUP($D$3,PARTNERPROGRAM!$D$7:$H$8,2,FALSE)),VLOOKUP('Perpetual Pricing (2)'!$D$1,XE!$A:$H,8,FALSE)),VLOOKUP('Perpetual Pricing (2)'!$D$1,XE!$A:$G,7,FALSE))</f>
        <v>252,500</v>
      </c>
      <c r="C227" t="str">
        <f t="shared" si="3"/>
        <v>CHF</v>
      </c>
    </row>
    <row r="228" spans="1:3">
      <c r="A228" s="42" t="str">
        <f>CONCATENATE(LEFT(BASE!I202,6),VLOOKUP('Perpetual Pricing (2)'!$D$1,XE!$A:$C,3,FALSE),MID(BASE!I202,9,1),IF('Perpetual Pricing (2)'!$D$2="Standard","S","G"),RIGHT(BASE!I202,7))</f>
        <v>SSPS50EUMG011YZZZ</v>
      </c>
      <c r="B228" s="85" t="str">
        <f>TEXT(ROUND(VLOOKUP('Perpetual Pricing (2)'!$D$2,XE!$M$5:$N$6,2,FALSE)*BASE!H202*VLOOKUP('Perpetual Pricing (2)'!$D$1,XE!$A:$F,6,FALSE)* (HLOOKUP($D$3,PARTNERPROGRAM!$D$7:$H$8,2,FALSE)),VLOOKUP('Perpetual Pricing (2)'!$D$1,XE!$A:$H,8,FALSE)),VLOOKUP('Perpetual Pricing (2)'!$D$1,XE!$A:$G,7,FALSE))</f>
        <v>160,300</v>
      </c>
      <c r="C228" t="str">
        <f t="shared" si="3"/>
        <v>CHF</v>
      </c>
    </row>
    <row r="229" spans="1:3">
      <c r="A229" s="42" t="str">
        <f>CONCATENATE(LEFT(BASE!I203,6),VLOOKUP('Perpetual Pricing (2)'!$D$1,XE!$A:$C,3,FALSE),MID(BASE!I203,9,1),IF('Perpetual Pricing (2)'!$D$2="Standard","S","G"),RIGHT(BASE!I203,7))</f>
        <v>SSPS50EUMG011YZZA</v>
      </c>
      <c r="B229" s="85" t="str">
        <f>TEXT(ROUND(VLOOKUP('Perpetual Pricing (2)'!$D$2,XE!$M$5:$N$6,2,FALSE)*BASE!H203*VLOOKUP('Perpetual Pricing (2)'!$D$1,XE!$A:$F,6,FALSE)* (HLOOKUP($D$3,PARTNERPROGRAM!$D$7:$H$8,2,FALSE)),VLOOKUP('Perpetual Pricing (2)'!$D$1,XE!$A:$H,8,FALSE)),VLOOKUP('Perpetual Pricing (2)'!$D$1,XE!$A:$G,7,FALSE))</f>
        <v>145,900</v>
      </c>
      <c r="C229" t="str">
        <f t="shared" si="3"/>
        <v>CHF</v>
      </c>
    </row>
    <row r="230" spans="1:3">
      <c r="A230" s="42" t="str">
        <f>CONCATENATE(LEFT(BASE!I204,6),VLOOKUP('Perpetual Pricing (2)'!$D$1,XE!$A:$C,3,FALSE),MID(BASE!I204,9,1),IF('Perpetual Pricing (2)'!$D$2="Standard","S","G"),RIGHT(BASE!I204,7))</f>
        <v>SSPS50EUMG011YZZB</v>
      </c>
      <c r="B230" s="85" t="str">
        <f>TEXT(ROUND(VLOOKUP('Perpetual Pricing (2)'!$D$2,XE!$M$5:$N$6,2,FALSE)*BASE!H204*VLOOKUP('Perpetual Pricing (2)'!$D$1,XE!$A:$F,6,FALSE)* (HLOOKUP($D$3,PARTNERPROGRAM!$D$7:$H$8,2,FALSE)),VLOOKUP('Perpetual Pricing (2)'!$D$1,XE!$A:$H,8,FALSE)),VLOOKUP('Perpetual Pricing (2)'!$D$1,XE!$A:$G,7,FALSE))</f>
        <v>122,900</v>
      </c>
      <c r="C230" t="str">
        <f t="shared" si="3"/>
        <v>CHF</v>
      </c>
    </row>
    <row r="231" spans="1:3">
      <c r="A231" s="42" t="str">
        <f>CONCATENATE(LEFT(BASE!I205,6),VLOOKUP('Perpetual Pricing (2)'!$D$1,XE!$A:$C,3,FALSE),MID(BASE!I205,9,1),IF('Perpetual Pricing (2)'!$D$2="Standard","S","G"),RIGHT(BASE!I205,7))</f>
        <v>SSPS50EUMG011YZZC</v>
      </c>
      <c r="B231" s="85" t="str">
        <f>TEXT(ROUND(VLOOKUP('Perpetual Pricing (2)'!$D$2,XE!$M$5:$N$6,2,FALSE)*BASE!H205*VLOOKUP('Perpetual Pricing (2)'!$D$1,XE!$A:$F,6,FALSE)* (HLOOKUP($D$3,PARTNERPROGRAM!$D$7:$H$8,2,FALSE)),VLOOKUP('Perpetual Pricing (2)'!$D$1,XE!$A:$H,8,FALSE)),VLOOKUP('Perpetual Pricing (2)'!$D$1,XE!$A:$G,7,FALSE))</f>
        <v>99,900</v>
      </c>
      <c r="C231" t="str">
        <f t="shared" si="3"/>
        <v>CHF</v>
      </c>
    </row>
    <row r="232" spans="1:3">
      <c r="A232" s="42" t="str">
        <f>CONCATENATE(LEFT(BASE!I231,6),VLOOKUP('Perpetual Pricing (2)'!$D$1,XE!$A:$C,3,FALSE),MID(BASE!I231,9,1),IF('Perpetual Pricing (2)'!$D$2="Standard","S","G"),RIGHT(BASE!I231,7))</f>
        <v>BSBS50EUMG011YZZZ</v>
      </c>
      <c r="B232" s="85" t="str">
        <f>TEXT(ROUND(VLOOKUP('Perpetual Pricing (2)'!$D$2,XE!$M$5:$N$6,2,FALSE)*BASE!H231*VLOOKUP('Perpetual Pricing (2)'!$D$1,XE!$A:$F,6,FALSE)* (HLOOKUP($D$3,PARTNERPROGRAM!$D$7:$H$8,2,FALSE)),VLOOKUP('Perpetual Pricing (2)'!$D$1,XE!$A:$H,8,FALSE)),VLOOKUP('Perpetual Pricing (2)'!$D$1,XE!$A:$G,7,FALSE))</f>
        <v>80,400</v>
      </c>
      <c r="C232" t="str">
        <f t="shared" si="3"/>
        <v>CHF</v>
      </c>
    </row>
    <row r="233" spans="1:3">
      <c r="A233" s="42" t="str">
        <f>CONCATENATE(LEFT(BASE!I232,6),VLOOKUP('Perpetual Pricing (2)'!$D$1,XE!$A:$C,3,FALSE),MID(BASE!I232,9,1),IF('Perpetual Pricing (2)'!$D$2="Standard","S","G"),RIGHT(BASE!I232,7))</f>
        <v>BSBP50EUMG021YZZZ</v>
      </c>
      <c r="B233" s="85" t="str">
        <f>TEXT(ROUND(VLOOKUP('Perpetual Pricing (2)'!$D$2,XE!$M$5:$N$6,2,FALSE)*BASE!H232*VLOOKUP('Perpetual Pricing (2)'!$D$1,XE!$A:$F,6,FALSE)* (HLOOKUP($D$3,PARTNERPROGRAM!$D$7:$H$8,2,FALSE)),VLOOKUP('Perpetual Pricing (2)'!$D$1,XE!$A:$H,8,FALSE)),VLOOKUP('Perpetual Pricing (2)'!$D$1,XE!$A:$G,7,FALSE))</f>
        <v>194,700</v>
      </c>
      <c r="C233" t="str">
        <f t="shared" si="3"/>
        <v>CHF</v>
      </c>
    </row>
    <row r="234" spans="1:3">
      <c r="A234" s="42" t="str">
        <f>CONCATENATE(LEFT(BASE!I251,6),VLOOKUP('Perpetual Pricing (2)'!$D$1,XE!$A:$C,3,FALSE),MID(BASE!I251,9,1),IF('Perpetual Pricing (2)'!$D$2="Standard","S","G"),RIGHT(BASE!I251,7))</f>
        <v>DSPD50EUMG011YZZZ</v>
      </c>
      <c r="B234" s="85" t="str">
        <f>TEXT(ROUND(VLOOKUP('Perpetual Pricing (2)'!$D$2,XE!$M$5:$N$6,2,FALSE)*BASE!H251*VLOOKUP('Perpetual Pricing (2)'!$D$1,XE!$A:$F,6,FALSE)* (HLOOKUP($D$3,PARTNERPROGRAM!$D$7:$H$8,2,FALSE)),VLOOKUP('Perpetual Pricing (2)'!$D$1,XE!$A:$H,8,FALSE)),VLOOKUP('Perpetual Pricing (2)'!$D$1,XE!$A:$G,7,FALSE))</f>
        <v>14,600</v>
      </c>
      <c r="C234" t="str">
        <f t="shared" si="3"/>
        <v>CHF</v>
      </c>
    </row>
    <row r="235" spans="1:3">
      <c r="A235" s="42" t="str">
        <f>CONCATENATE(LEFT(BASE!I252,6),VLOOKUP('Perpetual Pricing (2)'!$D$1,XE!$A:$C,3,FALSE),MID(BASE!I252,9,1),IF('Perpetual Pricing (2)'!$D$2="Standard","S","G"),RIGHT(BASE!I252,7))</f>
        <v>DSPD50EUMG011YZZA</v>
      </c>
      <c r="B235" s="85" t="str">
        <f>TEXT(ROUND(VLOOKUP('Perpetual Pricing (2)'!$D$2,XE!$M$5:$N$6,2,FALSE)*BASE!H252*VLOOKUP('Perpetual Pricing (2)'!$D$1,XE!$A:$F,6,FALSE)* (HLOOKUP($D$3,PARTNERPROGRAM!$D$7:$H$8,2,FALSE)),VLOOKUP('Perpetual Pricing (2)'!$D$1,XE!$A:$H,8,FALSE)),VLOOKUP('Perpetual Pricing (2)'!$D$1,XE!$A:$G,7,FALSE))</f>
        <v>13,300</v>
      </c>
      <c r="C235" t="str">
        <f t="shared" si="3"/>
        <v>CHF</v>
      </c>
    </row>
    <row r="236" spans="1:3">
      <c r="A236" s="42" t="str">
        <f>CONCATENATE(LEFT(BASE!I253,6),VLOOKUP('Perpetual Pricing (2)'!$D$1,XE!$A:$C,3,FALSE),MID(BASE!I253,9,1),IF('Perpetual Pricing (2)'!$D$2="Standard","S","G"),RIGHT(BASE!I253,7))</f>
        <v>DSPD50EUMG011YZZB</v>
      </c>
      <c r="B236" s="85" t="str">
        <f>TEXT(ROUND(VLOOKUP('Perpetual Pricing (2)'!$D$2,XE!$M$5:$N$6,2,FALSE)*BASE!H253*VLOOKUP('Perpetual Pricing (2)'!$D$1,XE!$A:$F,6,FALSE)* (HLOOKUP($D$3,PARTNERPROGRAM!$D$7:$H$8,2,FALSE)),VLOOKUP('Perpetual Pricing (2)'!$D$1,XE!$A:$H,8,FALSE)),VLOOKUP('Perpetual Pricing (2)'!$D$1,XE!$A:$G,7,FALSE))</f>
        <v>11,200</v>
      </c>
      <c r="C236" t="str">
        <f t="shared" si="3"/>
        <v>CHF</v>
      </c>
    </row>
    <row r="237" spans="1:3">
      <c r="A237" s="42" t="str">
        <f>CONCATENATE(LEFT(BASE!I254,6),VLOOKUP('Perpetual Pricing (2)'!$D$1,XE!$A:$C,3,FALSE),MID(BASE!I254,9,1),IF('Perpetual Pricing (2)'!$D$2="Standard","S","G"),RIGHT(BASE!I254,7))</f>
        <v>DSPD50EUMG011YZZC</v>
      </c>
      <c r="B237" s="85" t="str">
        <f>TEXT(ROUND(VLOOKUP('Perpetual Pricing (2)'!$D$2,XE!$M$5:$N$6,2,FALSE)*BASE!H254*VLOOKUP('Perpetual Pricing (2)'!$D$1,XE!$A:$F,6,FALSE)* (HLOOKUP($D$3,PARTNERPROGRAM!$D$7:$H$8,2,FALSE)),VLOOKUP('Perpetual Pricing (2)'!$D$1,XE!$A:$H,8,FALSE)),VLOOKUP('Perpetual Pricing (2)'!$D$1,XE!$A:$G,7,FALSE))</f>
        <v>9,100</v>
      </c>
      <c r="C237" t="str">
        <f t="shared" si="3"/>
        <v>CHF</v>
      </c>
    </row>
    <row r="238" spans="1:3">
      <c r="A238" s="42" t="str">
        <f>CONCATENATE(LEFT(BASE!I255,6),VLOOKUP('Perpetual Pricing (2)'!$D$1,XE!$A:$C,3,FALSE),MID(BASE!I255,9,1),IF('Perpetual Pricing (2)'!$D$2="Standard","S","G"),RIGHT(BASE!I255,7))</f>
        <v>DSPD50EUMG031YZZZ</v>
      </c>
      <c r="B238" s="85" t="str">
        <f>TEXT(ROUND(VLOOKUP('Perpetual Pricing (2)'!$D$2,XE!$M$5:$N$6,2,FALSE)*BASE!H255*VLOOKUP('Perpetual Pricing (2)'!$D$1,XE!$A:$F,6,FALSE)* (HLOOKUP($D$3,PARTNERPROGRAM!$D$7:$H$8,2,FALSE)),VLOOKUP('Perpetual Pricing (2)'!$D$1,XE!$A:$H,8,FALSE)),VLOOKUP('Perpetual Pricing (2)'!$D$1,XE!$A:$G,7,FALSE))</f>
        <v>34,200</v>
      </c>
      <c r="C238" t="str">
        <f t="shared" si="3"/>
        <v>CHF</v>
      </c>
    </row>
    <row r="239" spans="1:3">
      <c r="A239" s="42" t="str">
        <f>CONCATENATE(LEFT(BASE!I298,6),VLOOKUP('Perpetual Pricing (2)'!$D$1,XE!$A:$C,3,FALSE),MID(BASE!I298,9,1),IF('Perpetual Pricing (2)'!$D$2="Standard","S","G"),RIGHT(BASE!I298,7))</f>
        <v>DSDV50EUMG061YZZZ</v>
      </c>
      <c r="B239" s="85" t="str">
        <f>TEXT(ROUND(VLOOKUP('Perpetual Pricing (2)'!$D$2,XE!$M$5:$N$6,2,FALSE)*BASE!H298*VLOOKUP('Perpetual Pricing (2)'!$D$1,XE!$A:$F,6,FALSE)* (HLOOKUP($D$3,PARTNERPROGRAM!$D$7:$H$8,2,FALSE)),VLOOKUP('Perpetual Pricing (2)'!$D$1,XE!$A:$H,8,FALSE)),VLOOKUP('Perpetual Pricing (2)'!$D$1,XE!$A:$G,7,FALSE))</f>
        <v>37,500</v>
      </c>
      <c r="C239" t="str">
        <f t="shared" si="3"/>
        <v>CHF</v>
      </c>
    </row>
    <row r="240" spans="1:3">
      <c r="A240" s="42" t="str">
        <f>CONCATENATE(LEFT(BASE!I299,6),VLOOKUP('Perpetual Pricing (2)'!$D$1,XE!$A:$C,3,FALSE),MID(BASE!I299,9,1),IF('Perpetual Pricing (2)'!$D$2="Standard","S","G"),RIGHT(BASE!I299,7))</f>
        <v>DSDV50EUMG121YZZZ</v>
      </c>
      <c r="B240" s="85" t="str">
        <f>TEXT(ROUND(VLOOKUP('Perpetual Pricing (2)'!$D$2,XE!$M$5:$N$6,2,FALSE)*BASE!H299*VLOOKUP('Perpetual Pricing (2)'!$D$1,XE!$A:$F,6,FALSE)* (HLOOKUP($D$3,PARTNERPROGRAM!$D$7:$H$8,2,FALSE)),VLOOKUP('Perpetual Pricing (2)'!$D$1,XE!$A:$H,8,FALSE)),VLOOKUP('Perpetual Pricing (2)'!$D$1,XE!$A:$G,7,FALSE))</f>
        <v>71,400</v>
      </c>
      <c r="C240" t="str">
        <f t="shared" si="3"/>
        <v>CHF</v>
      </c>
    </row>
    <row r="241" spans="1:3">
      <c r="A241" s="42" t="str">
        <f>CONCATENATE(LEFT(BASE!I300,6),VLOOKUP('Perpetual Pricing (2)'!$D$1,XE!$A:$C,3,FALSE),MID(BASE!I300,9,1),IF('Perpetual Pricing (2)'!$D$2="Standard","S","G"),RIGHT(BASE!I300,7))</f>
        <v>DSDV50EUMG241YZZZ</v>
      </c>
      <c r="B241" s="85" t="str">
        <f>TEXT(ROUND(VLOOKUP('Perpetual Pricing (2)'!$D$2,XE!$M$5:$N$6,2,FALSE)*BASE!H300*VLOOKUP('Perpetual Pricing (2)'!$D$1,XE!$A:$F,6,FALSE)* (HLOOKUP($D$3,PARTNERPROGRAM!$D$7:$H$8,2,FALSE)),VLOOKUP('Perpetual Pricing (2)'!$D$1,XE!$A:$H,8,FALSE)),VLOOKUP('Perpetual Pricing (2)'!$D$1,XE!$A:$G,7,FALSE))</f>
        <v>136,400</v>
      </c>
      <c r="C241" t="str">
        <f t="shared" si="3"/>
        <v>CHF</v>
      </c>
    </row>
    <row r="242" spans="1:3">
      <c r="A242" s="42" t="str">
        <f>CONCATENATE(LEFT(BASE!I301,6),VLOOKUP('Perpetual Pricing (2)'!$D$1,XE!$A:$C,3,FALSE),MID(BASE!I301,9,1),IF('Perpetual Pricing (2)'!$D$2="Standard","S","G"),RIGHT(BASE!I301,7))</f>
        <v>DSDV50EUMG501YZZZ</v>
      </c>
      <c r="B242" s="85" t="str">
        <f>TEXT(ROUND(VLOOKUP('Perpetual Pricing (2)'!$D$2,XE!$M$5:$N$6,2,FALSE)*BASE!H301*VLOOKUP('Perpetual Pricing (2)'!$D$1,XE!$A:$F,6,FALSE)* (HLOOKUP($D$3,PARTNERPROGRAM!$D$7:$H$8,2,FALSE)),VLOOKUP('Perpetual Pricing (2)'!$D$1,XE!$A:$H,8,FALSE)),VLOOKUP('Perpetual Pricing (2)'!$D$1,XE!$A:$G,7,FALSE))</f>
        <v>252,500</v>
      </c>
      <c r="C242" t="str">
        <f t="shared" si="3"/>
        <v>CHF</v>
      </c>
    </row>
    <row r="243" spans="1:3">
      <c r="A243" s="42" t="str">
        <f>CONCATENATE(LEFT(BASE!I302,6),VLOOKUP('Perpetual Pricing (2)'!$D$1,XE!$A:$C,3,FALSE),MID(BASE!I302,9,1),IF('Perpetual Pricing (2)'!$D$2="Standard","S","G"),RIGHT(BASE!I302,7))</f>
        <v>SSSV50EUMG011YZZZ</v>
      </c>
      <c r="B243" s="85" t="str">
        <f>TEXT(ROUND(VLOOKUP('Perpetual Pricing (2)'!$D$2,XE!$M$5:$N$6,2,FALSE)*BASE!H302*VLOOKUP('Perpetual Pricing (2)'!$D$1,XE!$A:$F,6,FALSE)* (HLOOKUP($D$3,PARTNERPROGRAM!$D$7:$H$8,2,FALSE)),VLOOKUP('Perpetual Pricing (2)'!$D$1,XE!$A:$H,8,FALSE)),VLOOKUP('Perpetual Pricing (2)'!$D$1,XE!$A:$G,7,FALSE))</f>
        <v>57,800</v>
      </c>
      <c r="C243" t="str">
        <f t="shared" si="3"/>
        <v>CHF</v>
      </c>
    </row>
    <row r="244" spans="1:3">
      <c r="A244" s="42" t="str">
        <f>CONCATENATE(LEFT(BASE!I303,6),VLOOKUP('Perpetual Pricing (2)'!$D$1,XE!$A:$C,3,FALSE),MID(BASE!I303,9,1),IF('Perpetual Pricing (2)'!$D$2="Standard","S","G"),RIGHT(BASE!I303,7))</f>
        <v>SSSV50EUMG031YZZZ</v>
      </c>
      <c r="B244" s="85" t="str">
        <f>TEXT(ROUND(VLOOKUP('Perpetual Pricing (2)'!$D$2,XE!$M$5:$N$6,2,FALSE)*BASE!H303*VLOOKUP('Perpetual Pricing (2)'!$D$1,XE!$A:$F,6,FALSE)* (HLOOKUP($D$3,PARTNERPROGRAM!$D$7:$H$8,2,FALSE)),VLOOKUP('Perpetual Pricing (2)'!$D$1,XE!$A:$H,8,FALSE)),VLOOKUP('Perpetual Pricing (2)'!$D$1,XE!$A:$G,7,FALSE))</f>
        <v>145,700</v>
      </c>
      <c r="C244" t="str">
        <f t="shared" si="3"/>
        <v>CHF</v>
      </c>
    </row>
    <row r="245" spans="1:3">
      <c r="A245" s="42" t="str">
        <f>CONCATENATE(LEFT(BASE!I304,6),VLOOKUP('Perpetual Pricing (2)'!$D$1,XE!$A:$C,3,FALSE),MID(BASE!I304,9,1),IF('Perpetual Pricing (2)'!$D$2="Standard","S","G"),RIGHT(BASE!I304,7))</f>
        <v>SSSV50EUMG061YZZZ</v>
      </c>
      <c r="B245" s="85" t="str">
        <f>TEXT(ROUND(VLOOKUP('Perpetual Pricing (2)'!$D$2,XE!$M$5:$N$6,2,FALSE)*BASE!H304*VLOOKUP('Perpetual Pricing (2)'!$D$1,XE!$A:$F,6,FALSE)* (HLOOKUP($D$3,PARTNERPROGRAM!$D$7:$H$8,2,FALSE)),VLOOKUP('Perpetual Pricing (2)'!$D$1,XE!$A:$H,8,FALSE)),VLOOKUP('Perpetual Pricing (2)'!$D$1,XE!$A:$G,7,FALSE))</f>
        <v>189,600</v>
      </c>
      <c r="C245" t="str">
        <f t="shared" si="3"/>
        <v>CHF</v>
      </c>
    </row>
    <row r="246" spans="1:3">
      <c r="A246" s="42" t="str">
        <f>CONCATENATE(LEFT(BASE!I305,6),VLOOKUP('Perpetual Pricing (2)'!$D$1,XE!$A:$C,3,FALSE),MID(BASE!I305,9,1),IF('Perpetual Pricing (2)'!$D$2="Standard","S","G"),RIGHT(BASE!I305,7))</f>
        <v>SSSV50EUMG121YZZZ</v>
      </c>
      <c r="B246" s="85" t="str">
        <f>TEXT(ROUND(VLOOKUP('Perpetual Pricing (2)'!$D$2,XE!$M$5:$N$6,2,FALSE)*BASE!H305*VLOOKUP('Perpetual Pricing (2)'!$D$1,XE!$A:$F,6,FALSE)* (HLOOKUP($D$3,PARTNERPROGRAM!$D$7:$H$8,2,FALSE)),VLOOKUP('Perpetual Pricing (2)'!$D$1,XE!$A:$H,8,FALSE)),VLOOKUP('Perpetual Pricing (2)'!$D$1,XE!$A:$G,7,FALSE))</f>
        <v>277,400</v>
      </c>
      <c r="C246" t="str">
        <f t="shared" si="3"/>
        <v>CHF</v>
      </c>
    </row>
    <row r="247" spans="1:3">
      <c r="A247" s="42" t="str">
        <f>CONCATENATE(LEFT(BASE!I306,6),VLOOKUP('Perpetual Pricing (2)'!$D$1,XE!$A:$C,3,FALSE),MID(BASE!I306,9,1),IF('Perpetual Pricing (2)'!$D$2="Standard","S","G"),RIGHT(BASE!I306,7))</f>
        <v>SSSV50EUMG241YZZZ</v>
      </c>
      <c r="B247" s="85" t="str">
        <f>TEXT(ROUND(VLOOKUP('Perpetual Pricing (2)'!$D$2,XE!$M$5:$N$6,2,FALSE)*BASE!H306*VLOOKUP('Perpetual Pricing (2)'!$D$1,XE!$A:$F,6,FALSE)* (HLOOKUP($D$3,PARTNERPROGRAM!$D$7:$H$8,2,FALSE)),VLOOKUP('Perpetual Pricing (2)'!$D$1,XE!$A:$H,8,FALSE)),VLOOKUP('Perpetual Pricing (2)'!$D$1,XE!$A:$G,7,FALSE))</f>
        <v>549,00</v>
      </c>
      <c r="C247" t="str">
        <f t="shared" si="3"/>
        <v>CHF</v>
      </c>
    </row>
    <row r="248" spans="1:3">
      <c r="A248" s="42" t="str">
        <f>CONCATENATE(LEFT(BASE!I307,6),VLOOKUP('Perpetual Pricing (2)'!$D$1,XE!$A:$C,3,FALSE),MID(BASE!I307,9,1),IF('Perpetual Pricing (2)'!$D$2="Standard","S","G"),RIGHT(BASE!I307,7))</f>
        <v>SSSV50EUMG501YZZZ</v>
      </c>
      <c r="B248" s="85" t="str">
        <f>TEXT(ROUND(VLOOKUP('Perpetual Pricing (2)'!$D$2,XE!$M$5:$N$6,2,FALSE)*BASE!H307*VLOOKUP('Perpetual Pricing (2)'!$D$1,XE!$A:$F,6,FALSE)* (HLOOKUP($D$3,PARTNERPROGRAM!$D$7:$H$8,2,FALSE)),VLOOKUP('Perpetual Pricing (2)'!$D$1,XE!$A:$H,8,FALSE)),VLOOKUP('Perpetual Pricing (2)'!$D$1,XE!$A:$G,7,FALSE))</f>
        <v>1134,500</v>
      </c>
      <c r="C248" t="str">
        <f t="shared" si="3"/>
        <v>CHF</v>
      </c>
    </row>
    <row r="249" spans="1:3">
      <c r="A249" s="42" t="str">
        <f>CONCATENATE(LEFT(BASE!I316,6),VLOOKUP('Perpetual Pricing (2)'!$D$1,XE!$A:$C,3,FALSE),MID(BASE!I316,9,1),IF('Perpetual Pricing (2)'!$D$2="Standard","S","G"),RIGHT(BASE!I316,7))</f>
        <v>G25080EUMG011YZZZ</v>
      </c>
      <c r="B249" s="85" t="str">
        <f>TEXT(ROUND(VLOOKUP('Perpetual Pricing (2)'!$D$2,XE!$M$5:$N$6,2,FALSE)*BASE!H316*VLOOKUP('Perpetual Pricing (2)'!$D$1,XE!$A:$F,6,FALSE)* (HLOOKUP($D$3,PARTNERPROGRAM!$D$7:$H$8,2,FALSE)),VLOOKUP('Perpetual Pricing (2)'!$D$1,XE!$A:$H,8,FALSE)),VLOOKUP('Perpetual Pricing (2)'!$D$1,XE!$A:$G,7,FALSE))</f>
        <v>73,100</v>
      </c>
      <c r="C249" t="str">
        <f t="shared" si="3"/>
        <v>CHF</v>
      </c>
    </row>
    <row r="250" spans="1:3">
      <c r="A250" s="42" t="str">
        <f>CONCATENATE(LEFT(BASE!I317,6),VLOOKUP('Perpetual Pricing (2)'!$D$1,XE!$A:$C,3,FALSE),MID(BASE!I317,9,1),IF('Perpetual Pricing (2)'!$D$2="Standard","S","G"),RIGHT(BASE!I317,7))</f>
        <v>GULM80EUMG011YZZZ</v>
      </c>
      <c r="B250" s="85" t="str">
        <f>TEXT(ROUND(VLOOKUP('Perpetual Pricing (2)'!$D$2,XE!$M$5:$N$6,2,FALSE)*BASE!H317*VLOOKUP('Perpetual Pricing (2)'!$D$1,XE!$A:$F,6,FALSE)* (HLOOKUP($D$3,PARTNERPROGRAM!$D$7:$H$8,2,FALSE)),VLOOKUP('Perpetual Pricing (2)'!$D$1,XE!$A:$H,8,FALSE)),VLOOKUP('Perpetual Pricing (2)'!$D$1,XE!$A:$G,7,FALSE))</f>
        <v>131,600</v>
      </c>
      <c r="C250" t="str">
        <f t="shared" si="3"/>
        <v>CHF</v>
      </c>
    </row>
    <row r="251" spans="1:3">
      <c r="A251" s="42" t="str">
        <f>CONCATENATE(LEFT(BASE!I320,6),VLOOKUP('Perpetual Pricing (2)'!$D$1,XE!$A:$C,3,FALSE),MID(BASE!I320,9,1),IF('Perpetual Pricing (2)'!$D$2="Standard","S","G"),RIGHT(BASE!I320,7))</f>
        <v>GD2580EUMG011YZZZ</v>
      </c>
      <c r="B251" s="85" t="str">
        <f>TEXT(ROUND(VLOOKUP('Perpetual Pricing (2)'!$D$2,XE!$M$5:$N$6,2,FALSE)*BASE!H320*VLOOKUP('Perpetual Pricing (2)'!$D$1,XE!$A:$F,6,FALSE)* (HLOOKUP($D$3,PARTNERPROGRAM!$D$7:$H$8,2,FALSE)),VLOOKUP('Perpetual Pricing (2)'!$D$1,XE!$A:$H,8,FALSE)),VLOOKUP('Perpetual Pricing (2)'!$D$1,XE!$A:$G,7,FALSE))</f>
        <v>219,400</v>
      </c>
      <c r="C251" t="str">
        <f t="shared" si="3"/>
        <v>CHF</v>
      </c>
    </row>
    <row r="252" spans="1:3">
      <c r="A252" s="42" t="str">
        <f>CONCATENATE(LEFT(BASE!I321,6),VLOOKUP('Perpetual Pricing (2)'!$D$1,XE!$A:$C,3,FALSE),MID(BASE!I321,9,1),IF('Perpetual Pricing (2)'!$D$2="Standard","S","G"),RIGHT(BASE!I321,7))</f>
        <v>GDUL80EUMG011YZZZ</v>
      </c>
      <c r="B252" s="85" t="str">
        <f>TEXT(ROUND(VLOOKUP('Perpetual Pricing (2)'!$D$2,XE!$M$5:$N$6,2,FALSE)*BASE!H321*VLOOKUP('Perpetual Pricing (2)'!$D$1,XE!$A:$F,6,FALSE)* (HLOOKUP($D$3,PARTNERPROGRAM!$D$7:$H$8,2,FALSE)),VLOOKUP('Perpetual Pricing (2)'!$D$1,XE!$A:$H,8,FALSE)),VLOOKUP('Perpetual Pricing (2)'!$D$1,XE!$A:$G,7,FALSE))</f>
        <v>278,00</v>
      </c>
      <c r="C252" t="str">
        <f t="shared" si="3"/>
        <v>CHF</v>
      </c>
    </row>
    <row r="253" spans="1:3">
      <c r="A253" s="42" t="str">
        <f>CONCATENATE(LEFT(BASE!I352,6),VLOOKUP('Perpetual Pricing (2)'!$D$1,XE!$A:$C,3,FALSE),MID(BASE!I352,9,1),IF('Perpetual Pricing (2)'!$D$2="Standard","S","G"),RIGHT(BASE!I352,7))</f>
        <v>CSST70EUMG011YZZN</v>
      </c>
      <c r="B253" s="85" t="str">
        <f>TEXT(ROUND(VLOOKUP('Perpetual Pricing (2)'!$D$2,XE!$M$5:$N$6,2,FALSE)*BASE!H352*VLOOKUP('Perpetual Pricing (2)'!$D$1,XE!$A:$F,6,FALSE)* (HLOOKUP($D$3,PARTNERPROGRAM!$D$7:$H$8,2,FALSE)),VLOOKUP('Perpetual Pricing (2)'!$D$1,XE!$A:$H,8,FALSE)),VLOOKUP('Perpetual Pricing (2)'!$D$1,XE!$A:$G,7,FALSE))</f>
        <v>43,800</v>
      </c>
      <c r="C253" t="str">
        <f t="shared" si="3"/>
        <v>CHF</v>
      </c>
    </row>
    <row r="254" spans="1:3">
      <c r="A254" s="42" t="str">
        <f>CONCATENATE(LEFT(BASE!I353,6),VLOOKUP('Perpetual Pricing (2)'!$D$1,XE!$A:$C,3,FALSE),MID(BASE!I353,9,1),IF('Perpetual Pricing (2)'!$D$2="Standard","S","G"),RIGHT(BASE!I353,7))</f>
        <v>CSST70EUMG011YZZO</v>
      </c>
      <c r="B254" s="85" t="str">
        <f>TEXT(ROUND(VLOOKUP('Perpetual Pricing (2)'!$D$2,XE!$M$5:$N$6,2,FALSE)*BASE!H353*VLOOKUP('Perpetual Pricing (2)'!$D$1,XE!$A:$F,6,FALSE)* (HLOOKUP($D$3,PARTNERPROGRAM!$D$7:$H$8,2,FALSE)),VLOOKUP('Perpetual Pricing (2)'!$D$1,XE!$A:$H,8,FALSE)),VLOOKUP('Perpetual Pricing (2)'!$D$1,XE!$A:$G,7,FALSE))</f>
        <v>39,800</v>
      </c>
      <c r="C254" t="str">
        <f t="shared" si="3"/>
        <v>CHF</v>
      </c>
    </row>
    <row r="255" spans="1:3">
      <c r="A255" s="42" t="str">
        <f>CONCATENATE(LEFT(BASE!I354,6),VLOOKUP('Perpetual Pricing (2)'!$D$1,XE!$A:$C,3,FALSE),MID(BASE!I354,9,1),IF('Perpetual Pricing (2)'!$D$2="Standard","S","G"),RIGHT(BASE!I354,7))</f>
        <v>CSST70EUMG011YZZP</v>
      </c>
      <c r="B255" s="85" t="str">
        <f>TEXT(ROUND(VLOOKUP('Perpetual Pricing (2)'!$D$2,XE!$M$5:$N$6,2,FALSE)*BASE!H354*VLOOKUP('Perpetual Pricing (2)'!$D$1,XE!$A:$F,6,FALSE)* (HLOOKUP($D$3,PARTNERPROGRAM!$D$7:$H$8,2,FALSE)),VLOOKUP('Perpetual Pricing (2)'!$D$1,XE!$A:$H,8,FALSE)),VLOOKUP('Perpetual Pricing (2)'!$D$1,XE!$A:$G,7,FALSE))</f>
        <v>38,400</v>
      </c>
      <c r="C255" t="str">
        <f t="shared" si="3"/>
        <v>CHF</v>
      </c>
    </row>
    <row r="256" spans="1:3">
      <c r="A256" s="42" t="str">
        <f>CONCATENATE(LEFT(BASE!K15,6),VLOOKUP('Perpetual Pricing (2)'!$D$1,XE!$A:$C,3,FALSE),MID(BASE!K15,9,1),IF('Perpetual Pricing (2)'!$D$2="Standard","S","G"),RIGHT(BASE!K15,7))</f>
        <v>XSPX00EUSG011YZZZ</v>
      </c>
      <c r="B256" s="85" t="str">
        <f>TEXT(ROUND(VLOOKUP('Perpetual Pricing (2)'!$D$2,XE!$M$5:$N$6,2,FALSE)*BASE!J15*VLOOKUP('Perpetual Pricing (2)'!$D$1,XE!$A:$F,6,FALSE)* (HLOOKUP($D$3,PARTNERPROGRAM!$D$7:$H$8,2,FALSE)),VLOOKUP('Perpetual Pricing (2)'!$D$1,XE!$A:$H,8,FALSE)),VLOOKUP('Perpetual Pricing (2)'!$D$1,XE!$A:$G,7,FALSE))</f>
        <v>120,200</v>
      </c>
      <c r="C256" t="str">
        <f t="shared" si="3"/>
        <v>CHF</v>
      </c>
    </row>
    <row r="257" spans="1:3">
      <c r="A257" s="42" t="str">
        <f>CONCATENATE(LEFT(BASE!K16,6),VLOOKUP('Perpetual Pricing (2)'!$D$1,XE!$A:$C,3,FALSE),MID(BASE!K16,9,1),IF('Perpetual Pricing (2)'!$D$2="Standard","S","G"),RIGHT(BASE!K16,7))</f>
        <v>XSPX00EUSG011YZZA</v>
      </c>
      <c r="B257" s="85" t="str">
        <f>TEXT(ROUND(VLOOKUP('Perpetual Pricing (2)'!$D$2,XE!$M$5:$N$6,2,FALSE)*BASE!J16*VLOOKUP('Perpetual Pricing (2)'!$D$1,XE!$A:$F,6,FALSE)* (HLOOKUP($D$3,PARTNERPROGRAM!$D$7:$H$8,2,FALSE)),VLOOKUP('Perpetual Pricing (2)'!$D$1,XE!$A:$H,8,FALSE)),VLOOKUP('Perpetual Pricing (2)'!$D$1,XE!$A:$G,7,FALSE))</f>
        <v>109,400</v>
      </c>
      <c r="C257" t="str">
        <f t="shared" si="3"/>
        <v>CHF</v>
      </c>
    </row>
    <row r="258" spans="1:3">
      <c r="A258" s="42" t="str">
        <f>CONCATENATE(LEFT(BASE!K17,6),VLOOKUP('Perpetual Pricing (2)'!$D$1,XE!$A:$C,3,FALSE),MID(BASE!K17,9,1),IF('Perpetual Pricing (2)'!$D$2="Standard","S","G"),RIGHT(BASE!K17,7))</f>
        <v>XSPX00EUSG011YZZB</v>
      </c>
      <c r="B258" s="85" t="str">
        <f>TEXT(ROUND(VLOOKUP('Perpetual Pricing (2)'!$D$2,XE!$M$5:$N$6,2,FALSE)*BASE!J17*VLOOKUP('Perpetual Pricing (2)'!$D$1,XE!$A:$F,6,FALSE)* (HLOOKUP($D$3,PARTNERPROGRAM!$D$7:$H$8,2,FALSE)),VLOOKUP('Perpetual Pricing (2)'!$D$1,XE!$A:$H,8,FALSE)),VLOOKUP('Perpetual Pricing (2)'!$D$1,XE!$A:$G,7,FALSE))</f>
        <v>92,200</v>
      </c>
      <c r="C258" t="str">
        <f t="shared" si="3"/>
        <v>CHF</v>
      </c>
    </row>
    <row r="259" spans="1:3">
      <c r="A259" s="42" t="str">
        <f>CONCATENATE(LEFT(BASE!K18,6),VLOOKUP('Perpetual Pricing (2)'!$D$1,XE!$A:$C,3,FALSE),MID(BASE!K18,9,1),IF('Perpetual Pricing (2)'!$D$2="Standard","S","G"),RIGHT(BASE!K18,7))</f>
        <v>XSPX00EUSG011YZZC</v>
      </c>
      <c r="B259" s="85" t="str">
        <f>TEXT(ROUND(VLOOKUP('Perpetual Pricing (2)'!$D$2,XE!$M$5:$N$6,2,FALSE)*BASE!J18*VLOOKUP('Perpetual Pricing (2)'!$D$1,XE!$A:$F,6,FALSE)* (HLOOKUP($D$3,PARTNERPROGRAM!$D$7:$H$8,2,FALSE)),VLOOKUP('Perpetual Pricing (2)'!$D$1,XE!$A:$H,8,FALSE)),VLOOKUP('Perpetual Pricing (2)'!$D$1,XE!$A:$G,7,FALSE))</f>
        <v>74,900</v>
      </c>
      <c r="C259" t="str">
        <f t="shared" si="3"/>
        <v>CHF</v>
      </c>
    </row>
    <row r="260" spans="1:3">
      <c r="A260" s="42" t="str">
        <f>CONCATENATE(LEFT(BASE!K26,6),VLOOKUP('Perpetual Pricing (2)'!$D$1,XE!$A:$C,3,FALSE),MID(BASE!K26,9,1),IF('Perpetual Pricing (2)'!$D$2="Standard","S","G"),RIGHT(BASE!K26,7))</f>
        <v>XSXW00EUSG011YZZZ</v>
      </c>
      <c r="B260" s="85" t="str">
        <f>TEXT(ROUND(VLOOKUP('Perpetual Pricing (2)'!$D$2,XE!$M$5:$N$6,2,FALSE)*BASE!J26*VLOOKUP('Perpetual Pricing (2)'!$D$1,XE!$A:$F,6,FALSE)* (HLOOKUP($D$3,PARTNERPROGRAM!$D$7:$H$8,2,FALSE)),VLOOKUP('Perpetual Pricing (2)'!$D$1,XE!$A:$H,8,FALSE)),VLOOKUP('Perpetual Pricing (2)'!$D$1,XE!$A:$G,7,FALSE))</f>
        <v>120,200</v>
      </c>
      <c r="C260" t="str">
        <f t="shared" si="3"/>
        <v>CHF</v>
      </c>
    </row>
    <row r="261" spans="1:3">
      <c r="A261" s="42" t="str">
        <f>CONCATENATE(LEFT(BASE!K27,6),VLOOKUP('Perpetual Pricing (2)'!$D$1,XE!$A:$C,3,FALSE),MID(BASE!K27,9,1),IF('Perpetual Pricing (2)'!$D$2="Standard","S","G"),RIGHT(BASE!K27,7))</f>
        <v>XSXW00EUSG011YZZA</v>
      </c>
      <c r="B261" s="85" t="str">
        <f>TEXT(ROUND(VLOOKUP('Perpetual Pricing (2)'!$D$2,XE!$M$5:$N$6,2,FALSE)*BASE!J27*VLOOKUP('Perpetual Pricing (2)'!$D$1,XE!$A:$F,6,FALSE)* (HLOOKUP($D$3,PARTNERPROGRAM!$D$7:$H$8,2,FALSE)),VLOOKUP('Perpetual Pricing (2)'!$D$1,XE!$A:$H,8,FALSE)),VLOOKUP('Perpetual Pricing (2)'!$D$1,XE!$A:$G,7,FALSE))</f>
        <v>109,400</v>
      </c>
      <c r="C261" t="str">
        <f t="shared" si="3"/>
        <v>CHF</v>
      </c>
    </row>
    <row r="262" spans="1:3">
      <c r="A262" s="42" t="str">
        <f>CONCATENATE(LEFT(BASE!K28,6),VLOOKUP('Perpetual Pricing (2)'!$D$1,XE!$A:$C,3,FALSE),MID(BASE!K28,9,1),IF('Perpetual Pricing (2)'!$D$2="Standard","S","G"),RIGHT(BASE!K28,7))</f>
        <v>XSXW00EUSG011YZZB</v>
      </c>
      <c r="B262" s="85" t="str">
        <f>TEXT(ROUND(VLOOKUP('Perpetual Pricing (2)'!$D$2,XE!$M$5:$N$6,2,FALSE)*BASE!J28*VLOOKUP('Perpetual Pricing (2)'!$D$1,XE!$A:$F,6,FALSE)* (HLOOKUP($D$3,PARTNERPROGRAM!$D$7:$H$8,2,FALSE)),VLOOKUP('Perpetual Pricing (2)'!$D$1,XE!$A:$H,8,FALSE)),VLOOKUP('Perpetual Pricing (2)'!$D$1,XE!$A:$G,7,FALSE))</f>
        <v>92,200</v>
      </c>
      <c r="C262" t="str">
        <f t="shared" si="3"/>
        <v>CHF</v>
      </c>
    </row>
    <row r="263" spans="1:3">
      <c r="A263" s="42" t="str">
        <f>CONCATENATE(LEFT(BASE!K29,6),VLOOKUP('Perpetual Pricing (2)'!$D$1,XE!$A:$C,3,FALSE),MID(BASE!K29,9,1),IF('Perpetual Pricing (2)'!$D$2="Standard","S","G"),RIGHT(BASE!K29,7))</f>
        <v>XSXW00EUSG011YZZC</v>
      </c>
      <c r="B263" s="85" t="str">
        <f>TEXT(ROUND(VLOOKUP('Perpetual Pricing (2)'!$D$2,XE!$M$5:$N$6,2,FALSE)*BASE!J29*VLOOKUP('Perpetual Pricing (2)'!$D$1,XE!$A:$F,6,FALSE)* (HLOOKUP($D$3,PARTNERPROGRAM!$D$7:$H$8,2,FALSE)),VLOOKUP('Perpetual Pricing (2)'!$D$1,XE!$A:$H,8,FALSE)),VLOOKUP('Perpetual Pricing (2)'!$D$1,XE!$A:$G,7,FALSE))</f>
        <v>74,900</v>
      </c>
      <c r="C263" t="str">
        <f t="shared" si="3"/>
        <v>CHF</v>
      </c>
    </row>
    <row r="264" spans="1:3">
      <c r="A264" s="42" t="str">
        <f>CONCATENATE(LEFT(BASE!K65,6),VLOOKUP('Perpetual Pricing (2)'!$D$1,XE!$A:$C,3,FALSE),MID(BASE!K65,9,1),IF('Perpetual Pricing (2)'!$D$2="Standard","S","G"),RIGHT(BASE!K65,7))</f>
        <v>QBUS00EUSG011YZZZ</v>
      </c>
      <c r="B264" s="85" t="str">
        <f>TEXT(ROUND(VLOOKUP('Perpetual Pricing (2)'!$D$2,XE!$M$5:$N$6,2,FALSE)*BASE!J65*VLOOKUP('Perpetual Pricing (2)'!$D$1,XE!$A:$F,6,FALSE)* (HLOOKUP($D$3,PARTNERPROGRAM!$D$7:$H$8,2,FALSE)),VLOOKUP('Perpetual Pricing (2)'!$D$1,XE!$A:$H,8,FALSE)),VLOOKUP('Perpetual Pricing (2)'!$D$1,XE!$A:$G,7,FALSE))</f>
        <v>60,300</v>
      </c>
      <c r="C264" t="str">
        <f t="shared" ref="C264:C318" si="4">RIGHT($B$6,3)</f>
        <v>CHF</v>
      </c>
    </row>
    <row r="265" spans="1:3">
      <c r="A265" s="42" t="str">
        <f>CONCATENATE(LEFT(BASE!K66,6),VLOOKUP('Perpetual Pricing (2)'!$D$1,XE!$A:$C,3,FALSE),MID(BASE!K66,9,1),IF('Perpetual Pricing (2)'!$D$2="Standard","S","G"),RIGHT(BASE!K66,7))</f>
        <v>QSXP00EUSG021YZZZ</v>
      </c>
      <c r="B265" s="85" t="str">
        <f>TEXT(ROUND(VLOOKUP('Perpetual Pricing (2)'!$D$2,XE!$M$5:$N$6,2,FALSE)*BASE!J66*VLOOKUP('Perpetual Pricing (2)'!$D$1,XE!$A:$F,6,FALSE)* (HLOOKUP($D$3,PARTNERPROGRAM!$D$7:$H$8,2,FALSE)),VLOOKUP('Perpetual Pricing (2)'!$D$1,XE!$A:$H,8,FALSE)),VLOOKUP('Perpetual Pricing (2)'!$D$1,XE!$A:$G,7,FALSE))</f>
        <v>146,00</v>
      </c>
      <c r="C265" t="str">
        <f t="shared" si="4"/>
        <v>CHF</v>
      </c>
    </row>
    <row r="266" spans="1:3">
      <c r="A266" s="42" t="str">
        <f>CONCATENATE(LEFT(BASE!K84,6),VLOOKUP('Perpetual Pricing (2)'!$D$1,XE!$A:$C,3,FALSE),MID(BASE!K84,9,1),IF('Perpetual Pricing (2)'!$D$2="Standard","S","G"),RIGHT(BASE!K84,7))</f>
        <v>KXDW00EUSG011YZZA</v>
      </c>
      <c r="B266" s="85" t="str">
        <f>TEXT(ROUND(VLOOKUP('Perpetual Pricing (2)'!$D$2,XE!$M$5:$N$6,2,FALSE)*BASE!J84*VLOOKUP('Perpetual Pricing (2)'!$D$1,XE!$A:$F,6,FALSE)* (HLOOKUP($D$3,PARTNERPROGRAM!$D$7:$H$8,2,FALSE)),VLOOKUP('Perpetual Pricing (2)'!$D$1,XE!$A:$H,8,FALSE)),VLOOKUP('Perpetual Pricing (2)'!$D$1,XE!$A:$G,7,FALSE))</f>
        <v>10,00</v>
      </c>
      <c r="C266" t="str">
        <f t="shared" si="4"/>
        <v>CHF</v>
      </c>
    </row>
    <row r="267" spans="1:3">
      <c r="A267" s="42" t="str">
        <f>CONCATENATE(LEFT(BASE!K85,6),VLOOKUP('Perpetual Pricing (2)'!$D$1,XE!$A:$C,3,FALSE),MID(BASE!K85,9,1),IF('Perpetual Pricing (2)'!$D$2="Standard","S","G"),RIGHT(BASE!K85,7))</f>
        <v>KXDW00EUSG011YZZB</v>
      </c>
      <c r="B267" s="85" t="str">
        <f>TEXT(ROUND(VLOOKUP('Perpetual Pricing (2)'!$D$2,XE!$M$5:$N$6,2,FALSE)*BASE!J85*VLOOKUP('Perpetual Pricing (2)'!$D$1,XE!$A:$F,6,FALSE)* (HLOOKUP($D$3,PARTNERPROGRAM!$D$7:$H$8,2,FALSE)),VLOOKUP('Perpetual Pricing (2)'!$D$1,XE!$A:$H,8,FALSE)),VLOOKUP('Perpetual Pricing (2)'!$D$1,XE!$A:$G,7,FALSE))</f>
        <v>8,400</v>
      </c>
      <c r="C267" t="str">
        <f t="shared" si="4"/>
        <v>CHF</v>
      </c>
    </row>
    <row r="268" spans="1:3">
      <c r="A268" s="42" t="str">
        <f>CONCATENATE(LEFT(BASE!K86,6),VLOOKUP('Perpetual Pricing (2)'!$D$1,XE!$A:$C,3,FALSE),MID(BASE!K86,9,1),IF('Perpetual Pricing (2)'!$D$2="Standard","S","G"),RIGHT(BASE!K86,7))</f>
        <v>KXDW00EUSG011YZZC</v>
      </c>
      <c r="B268" s="85" t="str">
        <f>TEXT(ROUND(VLOOKUP('Perpetual Pricing (2)'!$D$2,XE!$M$5:$N$6,2,FALSE)*BASE!J86*VLOOKUP('Perpetual Pricing (2)'!$D$1,XE!$A:$F,6,FALSE)* (HLOOKUP($D$3,PARTNERPROGRAM!$D$7:$H$8,2,FALSE)),VLOOKUP('Perpetual Pricing (2)'!$D$1,XE!$A:$H,8,FALSE)),VLOOKUP('Perpetual Pricing (2)'!$D$1,XE!$A:$G,7,FALSE))</f>
        <v>6,800</v>
      </c>
      <c r="C268" t="str">
        <f t="shared" si="4"/>
        <v>CHF</v>
      </c>
    </row>
    <row r="269" spans="1:3">
      <c r="A269" s="42" t="str">
        <f>CONCATENATE(LEFT(BASE!K109,6),VLOOKUP('Perpetual Pricing (2)'!$D$1,XE!$A:$C,3,FALSE),MID(BASE!K109,9,1),IF('Perpetual Pricing (2)'!$D$2="Standard","S","G"),RIGHT(BASE!K109,7))</f>
        <v>XESS00EUSG011YZZZ</v>
      </c>
      <c r="B269" s="85" t="str">
        <f>TEXT(ROUND(VLOOKUP('Perpetual Pricing (2)'!$D$2,XE!$M$5:$N$6,2,FALSE)*BASE!J109*VLOOKUP('Perpetual Pricing (2)'!$D$1,XE!$A:$F,6,FALSE)* (HLOOKUP($D$3,PARTNERPROGRAM!$D$7:$H$8,2,FALSE)),VLOOKUP('Perpetual Pricing (2)'!$D$1,XE!$A:$H,8,FALSE)),VLOOKUP('Perpetual Pricing (2)'!$D$1,XE!$A:$G,7,FALSE))</f>
        <v>175,100</v>
      </c>
      <c r="C269" t="str">
        <f t="shared" si="4"/>
        <v>CHF</v>
      </c>
    </row>
    <row r="270" spans="1:3">
      <c r="A270" s="42" t="str">
        <f>CONCATENATE(LEFT(BASE!K110,6),VLOOKUP('Perpetual Pricing (2)'!$D$1,XE!$A:$C,3,FALSE),MID(BASE!K110,9,1),IF('Perpetual Pricing (2)'!$D$2="Standard","S","G"),RIGHT(BASE!K110,7))</f>
        <v>XSTD00EUSG011YZZZ</v>
      </c>
      <c r="B270" s="85" t="str">
        <f>TEXT(ROUND(VLOOKUP('Perpetual Pricing (2)'!$D$2,XE!$M$5:$N$6,2,FALSE)*BASE!J110*VLOOKUP('Perpetual Pricing (2)'!$D$1,XE!$A:$F,6,FALSE)* (HLOOKUP($D$3,PARTNERPROGRAM!$D$7:$H$8,2,FALSE)),VLOOKUP('Perpetual Pricing (2)'!$D$1,XE!$A:$H,8,FALSE)),VLOOKUP('Perpetual Pricing (2)'!$D$1,XE!$A:$G,7,FALSE))</f>
        <v>186,100</v>
      </c>
      <c r="C270" t="str">
        <f t="shared" si="4"/>
        <v>CHF</v>
      </c>
    </row>
    <row r="271" spans="1:3">
      <c r="A271" s="42" t="str">
        <f>CONCATENATE(LEFT(BASE!K132,6),VLOOKUP('Perpetual Pricing (2)'!$D$1,XE!$A:$C,3,FALSE),MID(BASE!K132,9,1),IF('Perpetual Pricing (2)'!$D$2="Standard","S","G"),RIGHT(BASE!K132,7))</f>
        <v>XSVS00EUSG011YZZZ</v>
      </c>
      <c r="B271" s="85" t="str">
        <f>TEXT(ROUND(VLOOKUP('Perpetual Pricing (2)'!$D$2,XE!$M$5:$N$6,2,FALSE)*BASE!J132*VLOOKUP('Perpetual Pricing (2)'!$D$1,XE!$A:$F,6,FALSE)* (HLOOKUP($D$3,PARTNERPROGRAM!$D$7:$H$8,2,FALSE)),VLOOKUP('Perpetual Pricing (2)'!$D$1,XE!$A:$H,8,FALSE)),VLOOKUP('Perpetual Pricing (2)'!$D$1,XE!$A:$G,7,FALSE))</f>
        <v>43,400</v>
      </c>
      <c r="C271" t="str">
        <f t="shared" si="4"/>
        <v>CHF</v>
      </c>
    </row>
    <row r="272" spans="1:3">
      <c r="A272" s="42" t="str">
        <f>CONCATENATE(LEFT(BASE!K133,6),VLOOKUP('Perpetual Pricing (2)'!$D$1,XE!$A:$C,3,FALSE),MID(BASE!K133,9,1),IF('Perpetual Pricing (2)'!$D$2="Standard","S","G"),RIGHT(BASE!K133,7))</f>
        <v>XSVS00EUSG031YZZZ</v>
      </c>
      <c r="B272" s="85" t="str">
        <f>TEXT(ROUND(VLOOKUP('Perpetual Pricing (2)'!$D$2,XE!$M$5:$N$6,2,FALSE)*BASE!J133*VLOOKUP('Perpetual Pricing (2)'!$D$1,XE!$A:$F,6,FALSE)* (HLOOKUP($D$3,PARTNERPROGRAM!$D$7:$H$8,2,FALSE)),VLOOKUP('Perpetual Pricing (2)'!$D$1,XE!$A:$H,8,FALSE)),VLOOKUP('Perpetual Pricing (2)'!$D$1,XE!$A:$G,7,FALSE))</f>
        <v>109,200</v>
      </c>
      <c r="C272" t="str">
        <f t="shared" si="4"/>
        <v>CHF</v>
      </c>
    </row>
    <row r="273" spans="1:3">
      <c r="A273" s="42" t="str">
        <f>CONCATENATE(LEFT(BASE!K134,6),VLOOKUP('Perpetual Pricing (2)'!$D$1,XE!$A:$C,3,FALSE),MID(BASE!K134,9,1),IF('Perpetual Pricing (2)'!$D$2="Standard","S","G"),RIGHT(BASE!K134,7))</f>
        <v>XSVS00EUSG101YZZZ</v>
      </c>
      <c r="B273" s="85" t="str">
        <f>TEXT(ROUND(VLOOKUP('Perpetual Pricing (2)'!$D$2,XE!$M$5:$N$6,2,FALSE)*BASE!J134*VLOOKUP('Perpetual Pricing (2)'!$D$1,XE!$A:$F,6,FALSE)* (HLOOKUP($D$3,PARTNERPROGRAM!$D$7:$H$8,2,FALSE)),VLOOKUP('Perpetual Pricing (2)'!$D$1,XE!$A:$H,8,FALSE)),VLOOKUP('Perpetual Pricing (2)'!$D$1,XE!$A:$G,7,FALSE))</f>
        <v>263,00</v>
      </c>
      <c r="C273" t="str">
        <f t="shared" si="4"/>
        <v>CHF</v>
      </c>
    </row>
    <row r="274" spans="1:3">
      <c r="A274" s="42" t="str">
        <f>CONCATENATE(LEFT(BASE!K135,6),VLOOKUP('Perpetual Pricing (2)'!$D$1,XE!$A:$C,3,FALSE),MID(BASE!K135,9,1),IF('Perpetual Pricing (2)'!$D$2="Standard","S","G"),RIGHT(BASE!K135,7))</f>
        <v>XSVS00EUSG061YZZZ</v>
      </c>
      <c r="B274" s="85" t="str">
        <f>TEXT(ROUND(VLOOKUP('Perpetual Pricing (2)'!$D$2,XE!$M$5:$N$6,2,FALSE)*BASE!J135*VLOOKUP('Perpetual Pricing (2)'!$D$1,XE!$A:$F,6,FALSE)* (HLOOKUP($D$3,PARTNERPROGRAM!$D$7:$H$8,2,FALSE)),VLOOKUP('Perpetual Pricing (2)'!$D$1,XE!$A:$H,8,FALSE)),VLOOKUP('Perpetual Pricing (2)'!$D$1,XE!$A:$G,7,FALSE))</f>
        <v>142,200</v>
      </c>
      <c r="C274" t="str">
        <f t="shared" si="4"/>
        <v>CHF</v>
      </c>
    </row>
    <row r="275" spans="1:3">
      <c r="A275" s="42" t="str">
        <f>CONCATENATE(LEFT(BASE!K136,6),VLOOKUP('Perpetual Pricing (2)'!$D$1,XE!$A:$C,3,FALSE),MID(BASE!K136,9,1),IF('Perpetual Pricing (2)'!$D$2="Standard","S","G"),RIGHT(BASE!K136,7))</f>
        <v>XSVS00EUSG121YZZZ</v>
      </c>
      <c r="B275" s="85" t="str">
        <f>TEXT(ROUND(VLOOKUP('Perpetual Pricing (2)'!$D$2,XE!$M$5:$N$6,2,FALSE)*BASE!J136*VLOOKUP('Perpetual Pricing (2)'!$D$1,XE!$A:$F,6,FALSE)* (HLOOKUP($D$3,PARTNERPROGRAM!$D$7:$H$8,2,FALSE)),VLOOKUP('Perpetual Pricing (2)'!$D$1,XE!$A:$H,8,FALSE)),VLOOKUP('Perpetual Pricing (2)'!$D$1,XE!$A:$G,7,FALSE))</f>
        <v>208,100</v>
      </c>
      <c r="C275" t="str">
        <f t="shared" si="4"/>
        <v>CHF</v>
      </c>
    </row>
    <row r="276" spans="1:3">
      <c r="A276" s="42" t="str">
        <f>CONCATENATE(LEFT(BASE!K137,6),VLOOKUP('Perpetual Pricing (2)'!$D$1,XE!$A:$C,3,FALSE),MID(BASE!K137,9,1),IF('Perpetual Pricing (2)'!$D$2="Standard","S","G"),RIGHT(BASE!K137,7))</f>
        <v>XSVS00EUSG241YZZZ</v>
      </c>
      <c r="B276" s="85" t="str">
        <f>TEXT(ROUND(VLOOKUP('Perpetual Pricing (2)'!$D$2,XE!$M$5:$N$6,2,FALSE)*BASE!J137*VLOOKUP('Perpetual Pricing (2)'!$D$1,XE!$A:$F,6,FALSE)* (HLOOKUP($D$3,PARTNERPROGRAM!$D$7:$H$8,2,FALSE)),VLOOKUP('Perpetual Pricing (2)'!$D$1,XE!$A:$H,8,FALSE)),VLOOKUP('Perpetual Pricing (2)'!$D$1,XE!$A:$G,7,FALSE))</f>
        <v>411,700</v>
      </c>
      <c r="C276" t="str">
        <f t="shared" si="4"/>
        <v>CHF</v>
      </c>
    </row>
    <row r="277" spans="1:3">
      <c r="A277" s="42" t="str">
        <f>CONCATENATE(LEFT(BASE!K138,6),VLOOKUP('Perpetual Pricing (2)'!$D$1,XE!$A:$C,3,FALSE),MID(BASE!K138,9,1),IF('Perpetual Pricing (2)'!$D$2="Standard","S","G"),RIGHT(BASE!K138,7))</f>
        <v>XSVS00EUSG501YZZZ</v>
      </c>
      <c r="B277" s="85" t="str">
        <f>TEXT(ROUND(VLOOKUP('Perpetual Pricing (2)'!$D$2,XE!$M$5:$N$6,2,FALSE)*BASE!J138*VLOOKUP('Perpetual Pricing (2)'!$D$1,XE!$A:$F,6,FALSE)* (HLOOKUP($D$3,PARTNERPROGRAM!$D$7:$H$8,2,FALSE)),VLOOKUP('Perpetual Pricing (2)'!$D$1,XE!$A:$H,8,FALSE)),VLOOKUP('Perpetual Pricing (2)'!$D$1,XE!$A:$G,7,FALSE))</f>
        <v>850,900</v>
      </c>
      <c r="C277" t="str">
        <f t="shared" si="4"/>
        <v>CHF</v>
      </c>
    </row>
    <row r="278" spans="1:3">
      <c r="A278" s="42" t="str">
        <f>CONCATENATE(LEFT(BASE!K147,6),VLOOKUP('Perpetual Pricing (2)'!$D$1,XE!$A:$C,3,FALSE),MID(BASE!K147,9,1),IF('Perpetual Pricing (2)'!$D$2="Standard","S","G"),RIGHT(BASE!K147,7))</f>
        <v>XSVW00EUSG011YZZZ</v>
      </c>
      <c r="B278" s="85" t="str">
        <f>TEXT(ROUND(VLOOKUP('Perpetual Pricing (2)'!$D$2,XE!$M$5:$N$6,2,FALSE)*BASE!J147*VLOOKUP('Perpetual Pricing (2)'!$D$1,XE!$A:$F,6,FALSE)* (HLOOKUP($D$3,PARTNERPROGRAM!$D$7:$H$8,2,FALSE)),VLOOKUP('Perpetual Pricing (2)'!$D$1,XE!$A:$H,8,FALSE)),VLOOKUP('Perpetual Pricing (2)'!$D$1,XE!$A:$G,7,FALSE))</f>
        <v>43,400</v>
      </c>
      <c r="C278" t="str">
        <f t="shared" si="4"/>
        <v>CHF</v>
      </c>
    </row>
    <row r="279" spans="1:3">
      <c r="A279" s="42" t="str">
        <f>CONCATENATE(LEFT(BASE!K148,6),VLOOKUP('Perpetual Pricing (2)'!$D$1,XE!$A:$C,3,FALSE),MID(BASE!K148,9,1),IF('Perpetual Pricing (2)'!$D$2="Standard","S","G"),RIGHT(BASE!K148,7))</f>
        <v>XSVW00EUSG031YZZZ</v>
      </c>
      <c r="B279" s="85" t="str">
        <f>TEXT(ROUND(VLOOKUP('Perpetual Pricing (2)'!$D$2,XE!$M$5:$N$6,2,FALSE)*BASE!J148*VLOOKUP('Perpetual Pricing (2)'!$D$1,XE!$A:$F,6,FALSE)* (HLOOKUP($D$3,PARTNERPROGRAM!$D$7:$H$8,2,FALSE)),VLOOKUP('Perpetual Pricing (2)'!$D$1,XE!$A:$H,8,FALSE)),VLOOKUP('Perpetual Pricing (2)'!$D$1,XE!$A:$G,7,FALSE))</f>
        <v>109,200</v>
      </c>
      <c r="C279" t="str">
        <f t="shared" si="4"/>
        <v>CHF</v>
      </c>
    </row>
    <row r="280" spans="1:3">
      <c r="A280" s="42" t="str">
        <f>CONCATENATE(LEFT(BASE!K149,6),VLOOKUP('Perpetual Pricing (2)'!$D$1,XE!$A:$C,3,FALSE),MID(BASE!K149,9,1),IF('Perpetual Pricing (2)'!$D$2="Standard","S","G"),RIGHT(BASE!K149,7))</f>
        <v>XSVW00EUSG101YZZZ</v>
      </c>
      <c r="B280" s="85" t="str">
        <f>TEXT(ROUND(VLOOKUP('Perpetual Pricing (2)'!$D$2,XE!$M$5:$N$6,2,FALSE)*BASE!J149*VLOOKUP('Perpetual Pricing (2)'!$D$1,XE!$A:$F,6,FALSE)* (HLOOKUP($D$3,PARTNERPROGRAM!$D$7:$H$8,2,FALSE)),VLOOKUP('Perpetual Pricing (2)'!$D$1,XE!$A:$H,8,FALSE)),VLOOKUP('Perpetual Pricing (2)'!$D$1,XE!$A:$G,7,FALSE))</f>
        <v>263,00</v>
      </c>
      <c r="C280" t="str">
        <f t="shared" si="4"/>
        <v>CHF</v>
      </c>
    </row>
    <row r="281" spans="1:3">
      <c r="A281" s="42" t="str">
        <f>CONCATENATE(LEFT(BASE!K150,6),VLOOKUP('Perpetual Pricing (2)'!$D$1,XE!$A:$C,3,FALSE),MID(BASE!K150,9,1),IF('Perpetual Pricing (2)'!$D$2="Standard","S","G"),RIGHT(BASE!K150,7))</f>
        <v>XSVW00EUSG061YZZZ</v>
      </c>
      <c r="B281" s="85" t="str">
        <f>TEXT(ROUND(VLOOKUP('Perpetual Pricing (2)'!$D$2,XE!$M$5:$N$6,2,FALSE)*BASE!J150*VLOOKUP('Perpetual Pricing (2)'!$D$1,XE!$A:$F,6,FALSE)* (HLOOKUP($D$3,PARTNERPROGRAM!$D$7:$H$8,2,FALSE)),VLOOKUP('Perpetual Pricing (2)'!$D$1,XE!$A:$H,8,FALSE)),VLOOKUP('Perpetual Pricing (2)'!$D$1,XE!$A:$G,7,FALSE))</f>
        <v>142,200</v>
      </c>
      <c r="C281" t="str">
        <f t="shared" si="4"/>
        <v>CHF</v>
      </c>
    </row>
    <row r="282" spans="1:3">
      <c r="A282" s="42" t="str">
        <f>CONCATENATE(LEFT(BASE!K151,6),VLOOKUP('Perpetual Pricing (2)'!$D$1,XE!$A:$C,3,FALSE),MID(BASE!K151,9,1),IF('Perpetual Pricing (2)'!$D$2="Standard","S","G"),RIGHT(BASE!K151,7))</f>
        <v>XSVW00EUSG121YZZZ</v>
      </c>
      <c r="B282" s="85" t="str">
        <f>TEXT(ROUND(VLOOKUP('Perpetual Pricing (2)'!$D$2,XE!$M$5:$N$6,2,FALSE)*BASE!J151*VLOOKUP('Perpetual Pricing (2)'!$D$1,XE!$A:$F,6,FALSE)* (HLOOKUP($D$3,PARTNERPROGRAM!$D$7:$H$8,2,FALSE)),VLOOKUP('Perpetual Pricing (2)'!$D$1,XE!$A:$H,8,FALSE)),VLOOKUP('Perpetual Pricing (2)'!$D$1,XE!$A:$G,7,FALSE))</f>
        <v>208,100</v>
      </c>
      <c r="C282" t="str">
        <f t="shared" si="4"/>
        <v>CHF</v>
      </c>
    </row>
    <row r="283" spans="1:3">
      <c r="A283" s="42" t="str">
        <f>CONCATENATE(LEFT(BASE!K152,6),VLOOKUP('Perpetual Pricing (2)'!$D$1,XE!$A:$C,3,FALSE),MID(BASE!K152,9,1),IF('Perpetual Pricing (2)'!$D$2="Standard","S","G"),RIGHT(BASE!K152,7))</f>
        <v>XSVW00EUSG241YZZZ</v>
      </c>
      <c r="B283" s="85" t="str">
        <f>TEXT(ROUND(VLOOKUP('Perpetual Pricing (2)'!$D$2,XE!$M$5:$N$6,2,FALSE)*BASE!J152*VLOOKUP('Perpetual Pricing (2)'!$D$1,XE!$A:$F,6,FALSE)* (HLOOKUP($D$3,PARTNERPROGRAM!$D$7:$H$8,2,FALSE)),VLOOKUP('Perpetual Pricing (2)'!$D$1,XE!$A:$H,8,FALSE)),VLOOKUP('Perpetual Pricing (2)'!$D$1,XE!$A:$G,7,FALSE))</f>
        <v>411,700</v>
      </c>
      <c r="C283" t="str">
        <f t="shared" si="4"/>
        <v>CHF</v>
      </c>
    </row>
    <row r="284" spans="1:3">
      <c r="A284" s="42" t="str">
        <f>CONCATENATE(LEFT(BASE!K153,6),VLOOKUP('Perpetual Pricing (2)'!$D$1,XE!$A:$C,3,FALSE),MID(BASE!K153,9,1),IF('Perpetual Pricing (2)'!$D$2="Standard","S","G"),RIGHT(BASE!K153,7))</f>
        <v>XSVW00EUSG501YZZZ</v>
      </c>
      <c r="B284" s="85" t="str">
        <f>TEXT(ROUND(VLOOKUP('Perpetual Pricing (2)'!$D$2,XE!$M$5:$N$6,2,FALSE)*BASE!J153*VLOOKUP('Perpetual Pricing (2)'!$D$1,XE!$A:$F,6,FALSE)* (HLOOKUP($D$3,PARTNERPROGRAM!$D$7:$H$8,2,FALSE)),VLOOKUP('Perpetual Pricing (2)'!$D$1,XE!$A:$H,8,FALSE)),VLOOKUP('Perpetual Pricing (2)'!$D$1,XE!$A:$G,7,FALSE))</f>
        <v>850,900</v>
      </c>
      <c r="C284" t="str">
        <f t="shared" si="4"/>
        <v>CHF</v>
      </c>
    </row>
    <row r="285" spans="1:3">
      <c r="A285" s="42" t="str">
        <f>CONCATENATE(LEFT(BASE!K191,6),VLOOKUP('Perpetual Pricing (2)'!$D$1,XE!$A:$C,3,FALSE),MID(BASE!K191,9,1),IF('Perpetual Pricing (2)'!$D$2="Standard","S","G"),RIGHT(BASE!K191,7))</f>
        <v>KXWK00EUSG121YZZZ</v>
      </c>
      <c r="B285" s="85" t="str">
        <f>TEXT(ROUND(VLOOKUP('Perpetual Pricing (2)'!$D$2,XE!$M$5:$N$6,2,FALSE)*BASE!J191*VLOOKUP('Perpetual Pricing (2)'!$D$1,XE!$A:$F,6,FALSE)* (HLOOKUP($D$3,PARTNERPROGRAM!$D$7:$H$8,2,FALSE)),VLOOKUP('Perpetual Pricing (2)'!$D$1,XE!$A:$H,8,FALSE)),VLOOKUP('Perpetual Pricing (2)'!$D$1,XE!$A:$G,7,FALSE))</f>
        <v>53,500</v>
      </c>
      <c r="C285" t="str">
        <f t="shared" si="4"/>
        <v>CHF</v>
      </c>
    </row>
    <row r="286" spans="1:3">
      <c r="A286" s="42" t="str">
        <f>CONCATENATE(LEFT(BASE!K192,6),VLOOKUP('Perpetual Pricing (2)'!$D$1,XE!$A:$C,3,FALSE),MID(BASE!K192,9,1),IF('Perpetual Pricing (2)'!$D$2="Standard","S","G"),RIGHT(BASE!K192,7))</f>
        <v>KXWK00EUSG241YZZZ</v>
      </c>
      <c r="B286" s="85" t="str">
        <f>TEXT(ROUND(VLOOKUP('Perpetual Pricing (2)'!$D$2,XE!$M$5:$N$6,2,FALSE)*BASE!J192*VLOOKUP('Perpetual Pricing (2)'!$D$1,XE!$A:$F,6,FALSE)* (HLOOKUP($D$3,PARTNERPROGRAM!$D$7:$H$8,2,FALSE)),VLOOKUP('Perpetual Pricing (2)'!$D$1,XE!$A:$H,8,FALSE)),VLOOKUP('Perpetual Pricing (2)'!$D$1,XE!$A:$G,7,FALSE))</f>
        <v>102,300</v>
      </c>
      <c r="C286" t="str">
        <f t="shared" si="4"/>
        <v>CHF</v>
      </c>
    </row>
    <row r="287" spans="1:3">
      <c r="A287" s="42" t="str">
        <f>CONCATENATE(LEFT(BASE!K193,6),VLOOKUP('Perpetual Pricing (2)'!$D$1,XE!$A:$C,3,FALSE),MID(BASE!K193,9,1),IF('Perpetual Pricing (2)'!$D$2="Standard","S","G"),RIGHT(BASE!K193,7))</f>
        <v>KXWK00EUSG501YZZZ</v>
      </c>
      <c r="B287" s="85" t="str">
        <f>TEXT(ROUND(VLOOKUP('Perpetual Pricing (2)'!$D$2,XE!$M$5:$N$6,2,FALSE)*BASE!J193*VLOOKUP('Perpetual Pricing (2)'!$D$1,XE!$A:$F,6,FALSE)* (HLOOKUP($D$3,PARTNERPROGRAM!$D$7:$H$8,2,FALSE)),VLOOKUP('Perpetual Pricing (2)'!$D$1,XE!$A:$H,8,FALSE)),VLOOKUP('Perpetual Pricing (2)'!$D$1,XE!$A:$G,7,FALSE))</f>
        <v>189,400</v>
      </c>
      <c r="C287" t="str">
        <f t="shared" si="4"/>
        <v>CHF</v>
      </c>
    </row>
    <row r="288" spans="1:3">
      <c r="A288" s="42" t="str">
        <f>CONCATENATE(LEFT(BASE!K202,6),VLOOKUP('Perpetual Pricing (2)'!$D$1,XE!$A:$C,3,FALSE),MID(BASE!K202,9,1),IF('Perpetual Pricing (2)'!$D$2="Standard","S","G"),RIGHT(BASE!K202,7))</f>
        <v>SSPS50EUSG011YZZZ</v>
      </c>
      <c r="B288" s="85" t="str">
        <f>TEXT(ROUND(VLOOKUP('Perpetual Pricing (2)'!$D$2,XE!$M$5:$N$6,2,FALSE)*BASE!J202*VLOOKUP('Perpetual Pricing (2)'!$D$1,XE!$A:$F,6,FALSE)* (HLOOKUP($D$3,PARTNERPROGRAM!$D$7:$H$8,2,FALSE)),VLOOKUP('Perpetual Pricing (2)'!$D$1,XE!$A:$H,8,FALSE)),VLOOKUP('Perpetual Pricing (2)'!$D$1,XE!$A:$G,7,FALSE))</f>
        <v>120,200</v>
      </c>
      <c r="C288" t="str">
        <f t="shared" si="4"/>
        <v>CHF</v>
      </c>
    </row>
    <row r="289" spans="1:3">
      <c r="A289" s="42" t="str">
        <f>CONCATENATE(LEFT(BASE!K203,6),VLOOKUP('Perpetual Pricing (2)'!$D$1,XE!$A:$C,3,FALSE),MID(BASE!K203,9,1),IF('Perpetual Pricing (2)'!$D$2="Standard","S","G"),RIGHT(BASE!K203,7))</f>
        <v>SSPS50EUSG011YZZA</v>
      </c>
      <c r="B289" s="85" t="str">
        <f>TEXT(ROUND(VLOOKUP('Perpetual Pricing (2)'!$D$2,XE!$M$5:$N$6,2,FALSE)*BASE!J203*VLOOKUP('Perpetual Pricing (2)'!$D$1,XE!$A:$F,6,FALSE)* (HLOOKUP($D$3,PARTNERPROGRAM!$D$7:$H$8,2,FALSE)),VLOOKUP('Perpetual Pricing (2)'!$D$1,XE!$A:$H,8,FALSE)),VLOOKUP('Perpetual Pricing (2)'!$D$1,XE!$A:$G,7,FALSE))</f>
        <v>109,400</v>
      </c>
      <c r="C289" t="str">
        <f t="shared" si="4"/>
        <v>CHF</v>
      </c>
    </row>
    <row r="290" spans="1:3">
      <c r="A290" s="42" t="str">
        <f>CONCATENATE(LEFT(BASE!K204,6),VLOOKUP('Perpetual Pricing (2)'!$D$1,XE!$A:$C,3,FALSE),MID(BASE!K204,9,1),IF('Perpetual Pricing (2)'!$D$2="Standard","S","G"),RIGHT(BASE!K204,7))</f>
        <v>SSPS50EUSG011YZZB</v>
      </c>
      <c r="B290" s="85" t="str">
        <f>TEXT(ROUND(VLOOKUP('Perpetual Pricing (2)'!$D$2,XE!$M$5:$N$6,2,FALSE)*BASE!J204*VLOOKUP('Perpetual Pricing (2)'!$D$1,XE!$A:$F,6,FALSE)* (HLOOKUP($D$3,PARTNERPROGRAM!$D$7:$H$8,2,FALSE)),VLOOKUP('Perpetual Pricing (2)'!$D$1,XE!$A:$H,8,FALSE)),VLOOKUP('Perpetual Pricing (2)'!$D$1,XE!$A:$G,7,FALSE))</f>
        <v>92,200</v>
      </c>
      <c r="C290" t="str">
        <f t="shared" si="4"/>
        <v>CHF</v>
      </c>
    </row>
    <row r="291" spans="1:3">
      <c r="A291" s="42" t="str">
        <f>CONCATENATE(LEFT(BASE!K205,6),VLOOKUP('Perpetual Pricing (2)'!$D$1,XE!$A:$C,3,FALSE),MID(BASE!K205,9,1),IF('Perpetual Pricing (2)'!$D$2="Standard","S","G"),RIGHT(BASE!K205,7))</f>
        <v>SSPS50EUSG011YZZC</v>
      </c>
      <c r="B291" s="85" t="str">
        <f>TEXT(ROUND(VLOOKUP('Perpetual Pricing (2)'!$D$2,XE!$M$5:$N$6,2,FALSE)*BASE!J205*VLOOKUP('Perpetual Pricing (2)'!$D$1,XE!$A:$F,6,FALSE)* (HLOOKUP($D$3,PARTNERPROGRAM!$D$7:$H$8,2,FALSE)),VLOOKUP('Perpetual Pricing (2)'!$D$1,XE!$A:$H,8,FALSE)),VLOOKUP('Perpetual Pricing (2)'!$D$1,XE!$A:$G,7,FALSE))</f>
        <v>74,900</v>
      </c>
      <c r="C291" t="str">
        <f t="shared" si="4"/>
        <v>CHF</v>
      </c>
    </row>
    <row r="292" spans="1:3">
      <c r="A292" s="42" t="str">
        <f>CONCATENATE(LEFT(BASE!K231,6),VLOOKUP('Perpetual Pricing (2)'!$D$1,XE!$A:$C,3,FALSE),MID(BASE!K231,9,1),IF('Perpetual Pricing (2)'!$D$2="Standard","S","G"),RIGHT(BASE!K231,7))</f>
        <v>BSBS50EUSG011YZZZ</v>
      </c>
      <c r="B292" s="85" t="str">
        <f>TEXT(ROUND(VLOOKUP('Perpetual Pricing (2)'!$D$2,XE!$M$5:$N$6,2,FALSE)*BASE!J231*VLOOKUP('Perpetual Pricing (2)'!$D$1,XE!$A:$F,6,FALSE)* (HLOOKUP($D$3,PARTNERPROGRAM!$D$7:$H$8,2,FALSE)),VLOOKUP('Perpetual Pricing (2)'!$D$1,XE!$A:$H,8,FALSE)),VLOOKUP('Perpetual Pricing (2)'!$D$1,XE!$A:$G,7,FALSE))</f>
        <v>60,300</v>
      </c>
      <c r="C292" t="str">
        <f t="shared" si="4"/>
        <v>CHF</v>
      </c>
    </row>
    <row r="293" spans="1:3">
      <c r="A293" s="42" t="str">
        <f>CONCATENATE(LEFT(BASE!K232,6),VLOOKUP('Perpetual Pricing (2)'!$D$1,XE!$A:$C,3,FALSE),MID(BASE!K232,9,1),IF('Perpetual Pricing (2)'!$D$2="Standard","S","G"),RIGHT(BASE!K232,7))</f>
        <v>BSBP50EUSG021YZZZ</v>
      </c>
      <c r="B293" s="85" t="str">
        <f>TEXT(ROUND(VLOOKUP('Perpetual Pricing (2)'!$D$2,XE!$M$5:$N$6,2,FALSE)*BASE!J232*VLOOKUP('Perpetual Pricing (2)'!$D$1,XE!$A:$F,6,FALSE)* (HLOOKUP($D$3,PARTNERPROGRAM!$D$7:$H$8,2,FALSE)),VLOOKUP('Perpetual Pricing (2)'!$D$1,XE!$A:$H,8,FALSE)),VLOOKUP('Perpetual Pricing (2)'!$D$1,XE!$A:$G,7,FALSE))</f>
        <v>146,00</v>
      </c>
      <c r="C293" t="str">
        <f t="shared" si="4"/>
        <v>CHF</v>
      </c>
    </row>
    <row r="294" spans="1:3">
      <c r="A294" s="42" t="str">
        <f>CONCATENATE(LEFT(BASE!K252,6),VLOOKUP('Perpetual Pricing (2)'!$D$1,XE!$A:$C,3,FALSE),MID(BASE!K252,9,1),IF('Perpetual Pricing (2)'!$D$2="Standard","S","G"),RIGHT(BASE!K252,7))</f>
        <v>DSPD50EUSG011YZZA</v>
      </c>
      <c r="B294" s="85" t="str">
        <f>TEXT(ROUND(VLOOKUP('Perpetual Pricing (2)'!$D$2,XE!$M$5:$N$6,2,FALSE)*BASE!J252*VLOOKUP('Perpetual Pricing (2)'!$D$1,XE!$A:$F,6,FALSE)* (HLOOKUP($D$3,PARTNERPROGRAM!$D$7:$H$8,2,FALSE)),VLOOKUP('Perpetual Pricing (2)'!$D$1,XE!$A:$H,8,FALSE)),VLOOKUP('Perpetual Pricing (2)'!$D$1,XE!$A:$G,7,FALSE))</f>
        <v>10,00</v>
      </c>
      <c r="C294" t="str">
        <f t="shared" si="4"/>
        <v>CHF</v>
      </c>
    </row>
    <row r="295" spans="1:3">
      <c r="A295" s="42" t="str">
        <f>CONCATENATE(LEFT(BASE!K253,6),VLOOKUP('Perpetual Pricing (2)'!$D$1,XE!$A:$C,3,FALSE),MID(BASE!K253,9,1),IF('Perpetual Pricing (2)'!$D$2="Standard","S","G"),RIGHT(BASE!K253,7))</f>
        <v>DSPD50EUSG011YZZB</v>
      </c>
      <c r="B295" s="85" t="str">
        <f>TEXT(ROUND(VLOOKUP('Perpetual Pricing (2)'!$D$2,XE!$M$5:$N$6,2,FALSE)*BASE!J253*VLOOKUP('Perpetual Pricing (2)'!$D$1,XE!$A:$F,6,FALSE)* (HLOOKUP($D$3,PARTNERPROGRAM!$D$7:$H$8,2,FALSE)),VLOOKUP('Perpetual Pricing (2)'!$D$1,XE!$A:$H,8,FALSE)),VLOOKUP('Perpetual Pricing (2)'!$D$1,XE!$A:$G,7,FALSE))</f>
        <v>8,400</v>
      </c>
      <c r="C295" t="str">
        <f t="shared" si="4"/>
        <v>CHF</v>
      </c>
    </row>
    <row r="296" spans="1:3">
      <c r="A296" s="42" t="str">
        <f>CONCATENATE(LEFT(BASE!K254,6),VLOOKUP('Perpetual Pricing (2)'!$D$1,XE!$A:$C,3,FALSE),MID(BASE!K254,9,1),IF('Perpetual Pricing (2)'!$D$2="Standard","S","G"),RIGHT(BASE!K254,7))</f>
        <v>DSPD50EUSG011YZZC</v>
      </c>
      <c r="B296" s="85" t="str">
        <f>TEXT(ROUND(VLOOKUP('Perpetual Pricing (2)'!$D$2,XE!$M$5:$N$6,2,FALSE)*BASE!J254*VLOOKUP('Perpetual Pricing (2)'!$D$1,XE!$A:$F,6,FALSE)* (HLOOKUP($D$3,PARTNERPROGRAM!$D$7:$H$8,2,FALSE)),VLOOKUP('Perpetual Pricing (2)'!$D$1,XE!$A:$H,8,FALSE)),VLOOKUP('Perpetual Pricing (2)'!$D$1,XE!$A:$G,7,FALSE))</f>
        <v>6,800</v>
      </c>
      <c r="C296" t="str">
        <f t="shared" si="4"/>
        <v>CHF</v>
      </c>
    </row>
    <row r="297" spans="1:3">
      <c r="A297" s="42" t="str">
        <f>CONCATENATE(LEFT(BASE!K299,6),VLOOKUP('Perpetual Pricing (2)'!$D$1,XE!$A:$C,3,FALSE),MID(BASE!K299,9,1),IF('Perpetual Pricing (2)'!$D$2="Standard","S","G"),RIGHT(BASE!K299,7))</f>
        <v>DSDV50EUSG121YZZZ</v>
      </c>
      <c r="B297" s="85" t="str">
        <f>TEXT(ROUND(VLOOKUP('Perpetual Pricing (2)'!$D$2,XE!$M$5:$N$6,2,FALSE)*BASE!J299*VLOOKUP('Perpetual Pricing (2)'!$D$1,XE!$A:$F,6,FALSE)* (HLOOKUP($D$3,PARTNERPROGRAM!$D$7:$H$8,2,FALSE)),VLOOKUP('Perpetual Pricing (2)'!$D$1,XE!$A:$H,8,FALSE)),VLOOKUP('Perpetual Pricing (2)'!$D$1,XE!$A:$G,7,FALSE))</f>
        <v>53,500</v>
      </c>
      <c r="C297" t="str">
        <f t="shared" si="4"/>
        <v>CHF</v>
      </c>
    </row>
    <row r="298" spans="1:3">
      <c r="A298" s="42" t="str">
        <f>CONCATENATE(LEFT(BASE!K300,6),VLOOKUP('Perpetual Pricing (2)'!$D$1,XE!$A:$C,3,FALSE),MID(BASE!K300,9,1),IF('Perpetual Pricing (2)'!$D$2="Standard","S","G"),RIGHT(BASE!K300,7))</f>
        <v>DSDV50EUSG241YZZZ</v>
      </c>
      <c r="B298" s="85" t="str">
        <f>TEXT(ROUND(VLOOKUP('Perpetual Pricing (2)'!$D$2,XE!$M$5:$N$6,2,FALSE)*BASE!J300*VLOOKUP('Perpetual Pricing (2)'!$D$1,XE!$A:$F,6,FALSE)* (HLOOKUP($D$3,PARTNERPROGRAM!$D$7:$H$8,2,FALSE)),VLOOKUP('Perpetual Pricing (2)'!$D$1,XE!$A:$H,8,FALSE)),VLOOKUP('Perpetual Pricing (2)'!$D$1,XE!$A:$G,7,FALSE))</f>
        <v>102,300</v>
      </c>
      <c r="C298" t="str">
        <f t="shared" si="4"/>
        <v>CHF</v>
      </c>
    </row>
    <row r="299" spans="1:3">
      <c r="A299" s="42" t="str">
        <f>CONCATENATE(LEFT(BASE!K301,6),VLOOKUP('Perpetual Pricing (2)'!$D$1,XE!$A:$C,3,FALSE),MID(BASE!K301,9,1),IF('Perpetual Pricing (2)'!$D$2="Standard","S","G"),RIGHT(BASE!K301,7))</f>
        <v>DSDV50EUSG501YZZZ</v>
      </c>
      <c r="B299" s="85" t="str">
        <f>TEXT(ROUND(VLOOKUP('Perpetual Pricing (2)'!$D$2,XE!$M$5:$N$6,2,FALSE)*BASE!J301*VLOOKUP('Perpetual Pricing (2)'!$D$1,XE!$A:$F,6,FALSE)* (HLOOKUP($D$3,PARTNERPROGRAM!$D$7:$H$8,2,FALSE)),VLOOKUP('Perpetual Pricing (2)'!$D$1,XE!$A:$H,8,FALSE)),VLOOKUP('Perpetual Pricing (2)'!$D$1,XE!$A:$G,7,FALSE))</f>
        <v>189,400</v>
      </c>
      <c r="C299" t="str">
        <f t="shared" si="4"/>
        <v>CHF</v>
      </c>
    </row>
    <row r="300" spans="1:3">
      <c r="A300" s="42" t="str">
        <f>CONCATENATE(LEFT(BASE!K302,6),VLOOKUP('Perpetual Pricing (2)'!$D$1,XE!$A:$C,3,FALSE),MID(BASE!K302,9,1),IF('Perpetual Pricing (2)'!$D$2="Standard","S","G"),RIGHT(BASE!K302,7))</f>
        <v>SSSV50EUSG011YZZZ</v>
      </c>
      <c r="B300" s="85" t="str">
        <f>TEXT(ROUND(VLOOKUP('Perpetual Pricing (2)'!$D$2,XE!$M$5:$N$6,2,FALSE)*BASE!J302*VLOOKUP('Perpetual Pricing (2)'!$D$1,XE!$A:$F,6,FALSE)* (HLOOKUP($D$3,PARTNERPROGRAM!$D$7:$H$8,2,FALSE)),VLOOKUP('Perpetual Pricing (2)'!$D$1,XE!$A:$H,8,FALSE)),VLOOKUP('Perpetual Pricing (2)'!$D$1,XE!$A:$G,7,FALSE))</f>
        <v>43,400</v>
      </c>
      <c r="C300" t="str">
        <f t="shared" si="4"/>
        <v>CHF</v>
      </c>
    </row>
    <row r="301" spans="1:3">
      <c r="A301" s="42" t="str">
        <f>CONCATENATE(LEFT(BASE!K303,6),VLOOKUP('Perpetual Pricing (2)'!$D$1,XE!$A:$C,3,FALSE),MID(BASE!K303,9,1),IF('Perpetual Pricing (2)'!$D$2="Standard","S","G"),RIGHT(BASE!K303,7))</f>
        <v>SSSV50EUSG031YZZZ</v>
      </c>
      <c r="B301" s="85" t="str">
        <f>TEXT(ROUND(VLOOKUP('Perpetual Pricing (2)'!$D$2,XE!$M$5:$N$6,2,FALSE)*BASE!J303*VLOOKUP('Perpetual Pricing (2)'!$D$1,XE!$A:$F,6,FALSE)* (HLOOKUP($D$3,PARTNERPROGRAM!$D$7:$H$8,2,FALSE)),VLOOKUP('Perpetual Pricing (2)'!$D$1,XE!$A:$H,8,FALSE)),VLOOKUP('Perpetual Pricing (2)'!$D$1,XE!$A:$G,7,FALSE))</f>
        <v>109,200</v>
      </c>
      <c r="C301" t="str">
        <f t="shared" si="4"/>
        <v>CHF</v>
      </c>
    </row>
    <row r="302" spans="1:3">
      <c r="A302" s="42" t="str">
        <f>CONCATENATE(LEFT(BASE!K304,6),VLOOKUP('Perpetual Pricing (2)'!$D$1,XE!$A:$C,3,FALSE),MID(BASE!K304,9,1),IF('Perpetual Pricing (2)'!$D$2="Standard","S","G"),RIGHT(BASE!K304,7))</f>
        <v>SSSV50EUSG061YZZZ</v>
      </c>
      <c r="B302" s="85" t="str">
        <f>TEXT(ROUND(VLOOKUP('Perpetual Pricing (2)'!$D$2,XE!$M$5:$N$6,2,FALSE)*BASE!J304*VLOOKUP('Perpetual Pricing (2)'!$D$1,XE!$A:$F,6,FALSE)* (HLOOKUP($D$3,PARTNERPROGRAM!$D$7:$H$8,2,FALSE)),VLOOKUP('Perpetual Pricing (2)'!$D$1,XE!$A:$H,8,FALSE)),VLOOKUP('Perpetual Pricing (2)'!$D$1,XE!$A:$G,7,FALSE))</f>
        <v>142,200</v>
      </c>
      <c r="C302" t="str">
        <f t="shared" si="4"/>
        <v>CHF</v>
      </c>
    </row>
    <row r="303" spans="1:3">
      <c r="A303" s="42" t="str">
        <f>CONCATENATE(LEFT(BASE!K305,6),VLOOKUP('Perpetual Pricing (2)'!$D$1,XE!$A:$C,3,FALSE),MID(BASE!K305,9,1),IF('Perpetual Pricing (2)'!$D$2="Standard","S","G"),RIGHT(BASE!K305,7))</f>
        <v>SSSV50EUSG121YZZZ</v>
      </c>
      <c r="B303" s="85" t="str">
        <f>TEXT(ROUND(VLOOKUP('Perpetual Pricing (2)'!$D$2,XE!$M$5:$N$6,2,FALSE)*BASE!J305*VLOOKUP('Perpetual Pricing (2)'!$D$1,XE!$A:$F,6,FALSE)* (HLOOKUP($D$3,PARTNERPROGRAM!$D$7:$H$8,2,FALSE)),VLOOKUP('Perpetual Pricing (2)'!$D$1,XE!$A:$H,8,FALSE)),VLOOKUP('Perpetual Pricing (2)'!$D$1,XE!$A:$G,7,FALSE))</f>
        <v>208,100</v>
      </c>
      <c r="C303" t="str">
        <f t="shared" si="4"/>
        <v>CHF</v>
      </c>
    </row>
    <row r="304" spans="1:3">
      <c r="A304" s="42" t="str">
        <f>CONCATENATE(LEFT(BASE!K306,6),VLOOKUP('Perpetual Pricing (2)'!$D$1,XE!$A:$C,3,FALSE),MID(BASE!K306,9,1),IF('Perpetual Pricing (2)'!$D$2="Standard","S","G"),RIGHT(BASE!K306,7))</f>
        <v>SSSV50EUSG241YZZZ</v>
      </c>
      <c r="B304" s="85" t="str">
        <f>TEXT(ROUND(VLOOKUP('Perpetual Pricing (2)'!$D$2,XE!$M$5:$N$6,2,FALSE)*BASE!J306*VLOOKUP('Perpetual Pricing (2)'!$D$1,XE!$A:$F,6,FALSE)* (HLOOKUP($D$3,PARTNERPROGRAM!$D$7:$H$8,2,FALSE)),VLOOKUP('Perpetual Pricing (2)'!$D$1,XE!$A:$H,8,FALSE)),VLOOKUP('Perpetual Pricing (2)'!$D$1,XE!$A:$G,7,FALSE))</f>
        <v>411,700</v>
      </c>
      <c r="C304" t="str">
        <f t="shared" si="4"/>
        <v>CHF</v>
      </c>
    </row>
    <row r="305" spans="1:3">
      <c r="A305" s="42" t="str">
        <f>CONCATENATE(LEFT(BASE!K307,6),VLOOKUP('Perpetual Pricing (2)'!$D$1,XE!$A:$C,3,FALSE),MID(BASE!K307,9,1),IF('Perpetual Pricing (2)'!$D$2="Standard","S","G"),RIGHT(BASE!K307,7))</f>
        <v>SSSV50EUSG501YZZZ</v>
      </c>
      <c r="B305" s="85" t="str">
        <f>TEXT(ROUND(VLOOKUP('Perpetual Pricing (2)'!$D$2,XE!$M$5:$N$6,2,FALSE)*BASE!J307*VLOOKUP('Perpetual Pricing (2)'!$D$1,XE!$A:$F,6,FALSE)* (HLOOKUP($D$3,PARTNERPROGRAM!$D$7:$H$8,2,FALSE)),VLOOKUP('Perpetual Pricing (2)'!$D$1,XE!$A:$H,8,FALSE)),VLOOKUP('Perpetual Pricing (2)'!$D$1,XE!$A:$G,7,FALSE))</f>
        <v>850,900</v>
      </c>
      <c r="C305" t="str">
        <f t="shared" si="4"/>
        <v>CHF</v>
      </c>
    </row>
    <row r="306" spans="1:3">
      <c r="A306" s="42" t="str">
        <f>CONCATENATE(LEFT(BASE!K316,6),VLOOKUP('Perpetual Pricing (2)'!$D$1,XE!$A:$C,3,FALSE),MID(BASE!K316,9,1),IF('Perpetual Pricing (2)'!$D$2="Standard","S","G"),RIGHT(BASE!K316,7))</f>
        <v>G25080EUSG011YZZZ</v>
      </c>
      <c r="B306" s="85" t="str">
        <f>TEXT(ROUND(VLOOKUP('Perpetual Pricing (2)'!$D$2,XE!$M$5:$N$6,2,FALSE)*BASE!J316*VLOOKUP('Perpetual Pricing (2)'!$D$1,XE!$A:$F,6,FALSE)* (HLOOKUP($D$3,PARTNERPROGRAM!$D$7:$H$8,2,FALSE)),VLOOKUP('Perpetual Pricing (2)'!$D$1,XE!$A:$H,8,FALSE)),VLOOKUP('Perpetual Pricing (2)'!$D$1,XE!$A:$G,7,FALSE))</f>
        <v>54,800</v>
      </c>
      <c r="C306" t="str">
        <f t="shared" si="4"/>
        <v>CHF</v>
      </c>
    </row>
    <row r="307" spans="1:3">
      <c r="A307" s="42" t="str">
        <f>CONCATENATE(LEFT(BASE!K317,6),VLOOKUP('Perpetual Pricing (2)'!$D$1,XE!$A:$C,3,FALSE),MID(BASE!K317,9,1),IF('Perpetual Pricing (2)'!$D$2="Standard","S","G"),RIGHT(BASE!K317,7))</f>
        <v>GULM80EUSG011YZZZ</v>
      </c>
      <c r="B307" s="85" t="str">
        <f>TEXT(ROUND(VLOOKUP('Perpetual Pricing (2)'!$D$2,XE!$M$5:$N$6,2,FALSE)*BASE!J317*VLOOKUP('Perpetual Pricing (2)'!$D$1,XE!$A:$F,6,FALSE)* (HLOOKUP($D$3,PARTNERPROGRAM!$D$7:$H$8,2,FALSE)),VLOOKUP('Perpetual Pricing (2)'!$D$1,XE!$A:$H,8,FALSE)),VLOOKUP('Perpetual Pricing (2)'!$D$1,XE!$A:$G,7,FALSE))</f>
        <v>98,700</v>
      </c>
      <c r="C307" t="str">
        <f t="shared" si="4"/>
        <v>CHF</v>
      </c>
    </row>
    <row r="308" spans="1:3">
      <c r="A308" s="42" t="str">
        <f>CONCATENATE(LEFT(BASE!K318,6),VLOOKUP('Perpetual Pricing (2)'!$D$1,XE!$A:$C,3,FALSE),MID(BASE!K318,9,1),IF('Perpetual Pricing (2)'!$D$2="Standard","S","G"),RIGHT(BASE!K318,7))</f>
        <v>GPRJ80EUSG012MZZZ</v>
      </c>
      <c r="B308" s="85" t="str">
        <f>TEXT(ROUND(VLOOKUP('Perpetual Pricing (2)'!$D$2,XE!$M$5:$N$6,2,FALSE)*BASE!J318*VLOOKUP('Perpetual Pricing (2)'!$D$1,XE!$A:$F,6,FALSE)* (HLOOKUP($D$3,PARTNERPROGRAM!$D$7:$H$8,2,FALSE)),VLOOKUP('Perpetual Pricing (2)'!$D$1,XE!$A:$H,8,FALSE)),VLOOKUP('Perpetual Pricing (2)'!$D$1,XE!$A:$G,7,FALSE))</f>
        <v>22,00</v>
      </c>
      <c r="C308" t="str">
        <f t="shared" si="4"/>
        <v>CHF</v>
      </c>
    </row>
    <row r="309" spans="1:3">
      <c r="A309" s="42" t="str">
        <f>CONCATENATE(LEFT(BASE!K319,6),VLOOKUP('Perpetual Pricing (2)'!$D$1,XE!$A:$C,3,FALSE),MID(BASE!K319,9,1),IF('Perpetual Pricing (2)'!$D$2="Standard","S","G"),RIGHT(BASE!K319,7))</f>
        <v>GULU80EUSG011YZPZ</v>
      </c>
      <c r="B309" s="85" t="str">
        <f>TEXT(ROUND(VLOOKUP('Perpetual Pricing (2)'!$D$2,XE!$M$5:$N$6,2,FALSE)*BASE!J319*VLOOKUP('Perpetual Pricing (2)'!$D$1,XE!$A:$F,6,FALSE)* (HLOOKUP($D$3,PARTNERPROGRAM!$D$7:$H$8,2,FALSE)),VLOOKUP('Perpetual Pricing (2)'!$D$1,XE!$A:$H,8,FALSE)),VLOOKUP('Perpetual Pricing (2)'!$D$1,XE!$A:$G,7,FALSE))</f>
        <v>43,900</v>
      </c>
      <c r="C309" t="str">
        <f t="shared" si="4"/>
        <v>CHF</v>
      </c>
    </row>
    <row r="310" spans="1:3">
      <c r="A310" s="42" t="str">
        <f>CONCATENATE(LEFT(BASE!K320,6),VLOOKUP('Perpetual Pricing (2)'!$D$1,XE!$A:$C,3,FALSE),MID(BASE!K320,9,1),IF('Perpetual Pricing (2)'!$D$2="Standard","S","G"),RIGHT(BASE!K320,7))</f>
        <v>GD2580EUSG011YZZZ</v>
      </c>
      <c r="B310" s="85" t="str">
        <f>TEXT(ROUND(VLOOKUP('Perpetual Pricing (2)'!$D$2,XE!$M$5:$N$6,2,FALSE)*BASE!J320*VLOOKUP('Perpetual Pricing (2)'!$D$1,XE!$A:$F,6,FALSE)* (HLOOKUP($D$3,PARTNERPROGRAM!$D$7:$H$8,2,FALSE)),VLOOKUP('Perpetual Pricing (2)'!$D$1,XE!$A:$H,8,FALSE)),VLOOKUP('Perpetual Pricing (2)'!$D$1,XE!$A:$G,7,FALSE))</f>
        <v>164,600</v>
      </c>
      <c r="C310" t="str">
        <f t="shared" si="4"/>
        <v>CHF</v>
      </c>
    </row>
    <row r="311" spans="1:3">
      <c r="A311" s="42" t="str">
        <f>CONCATENATE(LEFT(BASE!K321,6),VLOOKUP('Perpetual Pricing (2)'!$D$1,XE!$A:$C,3,FALSE),MID(BASE!K321,9,1),IF('Perpetual Pricing (2)'!$D$2="Standard","S","G"),RIGHT(BASE!K321,7))</f>
        <v>GDUL80EUSG011YZZZ</v>
      </c>
      <c r="B311" s="85" t="str">
        <f>TEXT(ROUND(VLOOKUP('Perpetual Pricing (2)'!$D$2,XE!$M$5:$N$6,2,FALSE)*BASE!J321*VLOOKUP('Perpetual Pricing (2)'!$D$1,XE!$A:$F,6,FALSE)* (HLOOKUP($D$3,PARTNERPROGRAM!$D$7:$H$8,2,FALSE)),VLOOKUP('Perpetual Pricing (2)'!$D$1,XE!$A:$H,8,FALSE)),VLOOKUP('Perpetual Pricing (2)'!$D$1,XE!$A:$G,7,FALSE))</f>
        <v>208,500</v>
      </c>
      <c r="C311" t="str">
        <f t="shared" si="4"/>
        <v>CHF</v>
      </c>
    </row>
    <row r="312" spans="1:3">
      <c r="A312" s="42" t="str">
        <f>CONCATENATE(LEFT(BASE!K322,6),VLOOKUP('Perpetual Pricing (2)'!$D$1,XE!$A:$C,3,FALSE),MID(BASE!K322,9,1),IF('Perpetual Pricing (2)'!$D$2="Standard","S","G"),RIGHT(BASE!K322,7))</f>
        <v>GDPJ80EUSG012MZZZ</v>
      </c>
      <c r="B312" s="85" t="str">
        <f>TEXT(ROUND(VLOOKUP('Perpetual Pricing (2)'!$D$2,XE!$M$5:$N$6,2,FALSE)*BASE!J322*VLOOKUP('Perpetual Pricing (2)'!$D$1,XE!$A:$F,6,FALSE)* (HLOOKUP($D$3,PARTNERPROGRAM!$D$7:$H$8,2,FALSE)),VLOOKUP('Perpetual Pricing (2)'!$D$1,XE!$A:$H,8,FALSE)),VLOOKUP('Perpetual Pricing (2)'!$D$1,XE!$A:$G,7,FALSE))</f>
        <v>87,700</v>
      </c>
      <c r="C312" t="str">
        <f t="shared" si="4"/>
        <v>CHF</v>
      </c>
    </row>
    <row r="313" spans="1:3">
      <c r="A313" s="42" t="str">
        <f>CONCATENATE(LEFT(BASE!K323,6),VLOOKUP('Perpetual Pricing (2)'!$D$1,XE!$A:$C,3,FALSE),MID(BASE!K323,9,1),IF('Perpetual Pricing (2)'!$D$2="Standard","S","G"),RIGHT(BASE!K323,7))</f>
        <v>GDUG80EUSG011YZZZ</v>
      </c>
      <c r="B313" s="85" t="str">
        <f>TEXT(ROUND(VLOOKUP('Perpetual Pricing (2)'!$D$2,XE!$M$5:$N$6,2,FALSE)*BASE!J323*VLOOKUP('Perpetual Pricing (2)'!$D$1,XE!$A:$F,6,FALSE)* (HLOOKUP($D$3,PARTNERPROGRAM!$D$7:$H$8,2,FALSE)),VLOOKUP('Perpetual Pricing (2)'!$D$1,XE!$A:$H,8,FALSE)),VLOOKUP('Perpetual Pricing (2)'!$D$1,XE!$A:$G,7,FALSE))</f>
        <v>43,900</v>
      </c>
      <c r="C313" t="str">
        <f t="shared" si="4"/>
        <v>CHF</v>
      </c>
    </row>
    <row r="314" spans="1:3">
      <c r="A314" s="42" t="str">
        <f>CONCATENATE(LEFT(BASE!K324,6),VLOOKUP('Perpetual Pricing (2)'!$D$1,XE!$A:$C,3,FALSE),MID(BASE!K324,9,1),IF('Perpetual Pricing (2)'!$D$2="Standard","S","G"),RIGHT(BASE!K324,7))</f>
        <v>GRD280EUSG0100ZPZ</v>
      </c>
      <c r="B314" s="85" t="str">
        <f>TEXT(ROUND(VLOOKUP('Perpetual Pricing (2)'!$D$2,XE!$M$5:$N$6,2,FALSE)*BASE!J324*VLOOKUP('Perpetual Pricing (2)'!$D$1,XE!$A:$F,6,FALSE)* (HLOOKUP($D$3,PARTNERPROGRAM!$D$7:$H$8,2,FALSE)),VLOOKUP('Perpetual Pricing (2)'!$D$1,XE!$A:$H,8,FALSE)),VLOOKUP('Perpetual Pricing (2)'!$D$1,XE!$A:$G,7,FALSE))</f>
        <v>109,800</v>
      </c>
      <c r="C314" t="str">
        <f t="shared" si="4"/>
        <v>CHF</v>
      </c>
    </row>
    <row r="315" spans="1:3">
      <c r="A315" s="42" t="str">
        <f>CONCATENATE(LEFT(BASE!K325,6),VLOOKUP('Perpetual Pricing (2)'!$D$1,XE!$A:$C,3,FALSE),MID(BASE!K325,9,1),IF('Perpetual Pricing (2)'!$D$2="Standard","S","G"),RIGHT(BASE!K325,7))</f>
        <v>GRDU80EUSG0100ZPZ</v>
      </c>
      <c r="B315" s="85" t="str">
        <f>TEXT(ROUND(VLOOKUP('Perpetual Pricing (2)'!$D$2,XE!$M$5:$N$6,2,FALSE)*BASE!J325*VLOOKUP('Perpetual Pricing (2)'!$D$1,XE!$A:$F,6,FALSE)* (HLOOKUP($D$3,PARTNERPROGRAM!$D$7:$H$8,2,FALSE)),VLOOKUP('Perpetual Pricing (2)'!$D$1,XE!$A:$H,8,FALSE)),VLOOKUP('Perpetual Pricing (2)'!$D$1,XE!$A:$G,7,FALSE))</f>
        <v>109,800</v>
      </c>
      <c r="C315" t="str">
        <f t="shared" si="4"/>
        <v>CHF</v>
      </c>
    </row>
    <row r="316" spans="1:3">
      <c r="A316" s="42" t="str">
        <f>CONCATENATE(LEFT(BASE!K352,6),VLOOKUP('Perpetual Pricing (2)'!$D$1,XE!$A:$C,3,FALSE),MID(BASE!K352,9,1),IF('Perpetual Pricing (2)'!$D$2="Standard","S","G"),RIGHT(BASE!K352,7))</f>
        <v>CSST70EUSG011YZZN</v>
      </c>
      <c r="B316" s="85" t="str">
        <f>TEXT(ROUND(VLOOKUP('Perpetual Pricing (2)'!$D$2,XE!$M$5:$N$6,2,FALSE)*BASE!J352*VLOOKUP('Perpetual Pricing (2)'!$D$1,XE!$A:$F,6,FALSE)* (HLOOKUP($D$3,PARTNERPROGRAM!$D$7:$H$8,2,FALSE)),VLOOKUP('Perpetual Pricing (2)'!$D$1,XE!$A:$H,8,FALSE)),VLOOKUP('Perpetual Pricing (2)'!$D$1,XE!$A:$G,7,FALSE))</f>
        <v>32,800</v>
      </c>
      <c r="C316" t="str">
        <f t="shared" si="4"/>
        <v>CHF</v>
      </c>
    </row>
    <row r="317" spans="1:3">
      <c r="A317" s="42" t="str">
        <f>CONCATENATE(LEFT(BASE!K353,6),VLOOKUP('Perpetual Pricing (2)'!$D$1,XE!$A:$C,3,FALSE),MID(BASE!K353,9,1),IF('Perpetual Pricing (2)'!$D$2="Standard","S","G"),RIGHT(BASE!K353,7))</f>
        <v>CSST70EUSG011YZZO</v>
      </c>
      <c r="B317" s="85" t="str">
        <f>TEXT(ROUND(VLOOKUP('Perpetual Pricing (2)'!$D$2,XE!$M$5:$N$6,2,FALSE)*BASE!J353*VLOOKUP('Perpetual Pricing (2)'!$D$1,XE!$A:$F,6,FALSE)* (HLOOKUP($D$3,PARTNERPROGRAM!$D$7:$H$8,2,FALSE)),VLOOKUP('Perpetual Pricing (2)'!$D$1,XE!$A:$H,8,FALSE)),VLOOKUP('Perpetual Pricing (2)'!$D$1,XE!$A:$G,7,FALSE))</f>
        <v>29,900</v>
      </c>
      <c r="C317" t="str">
        <f t="shared" si="4"/>
        <v>CHF</v>
      </c>
    </row>
    <row r="318" spans="1:3">
      <c r="A318" s="42" t="str">
        <f>CONCATENATE(LEFT(BASE!K354,6),VLOOKUP('Perpetual Pricing (2)'!$D$1,XE!$A:$C,3,FALSE),MID(BASE!K354,9,1),IF('Perpetual Pricing (2)'!$D$2="Standard","S","G"),RIGHT(BASE!K354,7))</f>
        <v>CSST70EUSG011YZZP</v>
      </c>
      <c r="B318" s="85" t="str">
        <f>TEXT(ROUND(VLOOKUP('Perpetual Pricing (2)'!$D$2,XE!$M$5:$N$6,2,FALSE)*BASE!J354*VLOOKUP('Perpetual Pricing (2)'!$D$1,XE!$A:$F,6,FALSE)* (HLOOKUP($D$3,PARTNERPROGRAM!$D$7:$H$8,2,FALSE)),VLOOKUP('Perpetual Pricing (2)'!$D$1,XE!$A:$H,8,FALSE)),VLOOKUP('Perpetual Pricing (2)'!$D$1,XE!$A:$G,7,FALSE))</f>
        <v>28,800</v>
      </c>
      <c r="C318" t="str">
        <f t="shared" si="4"/>
        <v>CHF</v>
      </c>
    </row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</sheetData>
  <sheetProtection formatColumns="0" formatRows="0"/>
  <mergeCells count="1">
    <mergeCell ref="A1:B2"/>
  </mergeCells>
  <pageMargins left="0.25" right="0.25" top="0.75" bottom="0.75" header="0.3" footer="0.3"/>
  <pageSetup scale="48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PARTNERPROGRAM!$D$7:$H$7</xm:f>
          </x14:formula1>
          <xm:sqref>D3</xm:sqref>
        </x14:dataValidation>
        <x14:dataValidation type="list" showInputMessage="1" showErrorMessage="1">
          <x14:formula1>
            <xm:f>Phrasing!$A$1:$B$1</xm:f>
          </x14:formula1>
          <xm:sqref>O1</xm:sqref>
        </x14:dataValidation>
        <x14:dataValidation type="list" showInputMessage="1" showErrorMessage="1">
          <x14:formula1>
            <xm:f>XE!$M$5:$M$6</xm:f>
          </x14:formula1>
          <xm:sqref>D2</xm:sqref>
        </x14:dataValidation>
        <x14:dataValidation type="list" allowBlank="1" showInputMessage="1" showErrorMessage="1">
          <x14:formula1>
            <xm:f>XE!$A$3:$A$22</xm:f>
          </x14:formula1>
          <xm:sqref>D1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4"/>
  <sheetViews>
    <sheetView workbookViewId="0">
      <selection activeCell="C8" sqref="C8"/>
    </sheetView>
  </sheetViews>
  <sheetFormatPr baseColWidth="10" defaultColWidth="9.140625" defaultRowHeight="12.75"/>
  <cols>
    <col min="1" max="1" width="10.28515625" style="105" customWidth="1"/>
    <col min="2" max="2" width="9.28515625" style="105" bestFit="1" customWidth="1"/>
    <col min="3" max="3" width="9.42578125" style="105" customWidth="1"/>
    <col min="4" max="4" width="10.85546875" style="105" bestFit="1" customWidth="1"/>
    <col min="5" max="5" width="16.5703125" style="105" bestFit="1" customWidth="1"/>
    <col min="6" max="6" width="5.42578125" style="105" bestFit="1" customWidth="1"/>
    <col min="7" max="7" width="4.85546875" style="105" bestFit="1" customWidth="1"/>
    <col min="8" max="8" width="8.28515625" style="105" bestFit="1" customWidth="1"/>
    <col min="9" max="12" width="9.140625" style="105"/>
    <col min="13" max="13" width="13.85546875" style="105" customWidth="1"/>
    <col min="14" max="20" width="9.140625" style="105"/>
    <col min="21" max="21" width="18.42578125" style="105" bestFit="1" customWidth="1"/>
    <col min="22" max="16384" width="9.140625" style="105"/>
  </cols>
  <sheetData>
    <row r="1" spans="2:22">
      <c r="D1" s="173"/>
      <c r="E1" s="173"/>
      <c r="F1" s="173"/>
      <c r="G1" s="173"/>
      <c r="H1" s="173"/>
    </row>
    <row r="2" spans="2:22">
      <c r="D2" s="174"/>
      <c r="E2" s="174"/>
      <c r="F2" s="174"/>
      <c r="G2" s="174"/>
      <c r="H2" s="174"/>
    </row>
    <row r="3" spans="2:22">
      <c r="D3" s="174"/>
      <c r="E3" s="174"/>
      <c r="F3" s="174"/>
      <c r="G3" s="174"/>
      <c r="H3" s="174"/>
    </row>
    <row r="5" spans="2:22">
      <c r="M5" s="175" t="s">
        <v>504</v>
      </c>
      <c r="N5" s="175" t="s">
        <v>505</v>
      </c>
      <c r="O5" s="175" t="s">
        <v>506</v>
      </c>
      <c r="P5" s="175" t="s">
        <v>507</v>
      </c>
      <c r="Q5" s="175" t="s">
        <v>508</v>
      </c>
      <c r="U5" s="175" t="s">
        <v>504</v>
      </c>
      <c r="V5" s="105" t="s">
        <v>490</v>
      </c>
    </row>
    <row r="6" spans="2:22">
      <c r="J6" s="176" t="str">
        <f>CONCATENATE(K6,L6)</f>
        <v>AStandard</v>
      </c>
      <c r="K6" s="177" t="s">
        <v>21</v>
      </c>
      <c r="L6" s="178" t="s">
        <v>528</v>
      </c>
      <c r="M6" s="178">
        <v>1</v>
      </c>
      <c r="N6" s="178">
        <v>0.8</v>
      </c>
      <c r="O6" s="178">
        <v>0.75</v>
      </c>
      <c r="P6" s="178">
        <v>0.7</v>
      </c>
      <c r="Q6" s="178">
        <v>0.7</v>
      </c>
      <c r="U6" s="175" t="s">
        <v>505</v>
      </c>
      <c r="V6" s="105" t="s">
        <v>534</v>
      </c>
    </row>
    <row r="7" spans="2:22">
      <c r="D7" s="173" t="s">
        <v>504</v>
      </c>
      <c r="E7" s="173" t="s">
        <v>505</v>
      </c>
      <c r="F7" s="173" t="s">
        <v>506</v>
      </c>
      <c r="G7" s="173" t="s">
        <v>507</v>
      </c>
      <c r="H7" s="173" t="s">
        <v>508</v>
      </c>
      <c r="J7" s="176" t="str">
        <f t="shared" ref="J7:J15" si="0">CONCATENATE(K7,L7)</f>
        <v>AGov/Edu/NonProfit</v>
      </c>
      <c r="K7" s="177" t="s">
        <v>21</v>
      </c>
      <c r="L7" s="178" t="s">
        <v>531</v>
      </c>
      <c r="M7" s="178">
        <v>1</v>
      </c>
      <c r="N7" s="178">
        <v>0.75</v>
      </c>
      <c r="O7" s="178">
        <v>0.7</v>
      </c>
      <c r="P7" s="178">
        <v>0.65</v>
      </c>
      <c r="Q7" s="178">
        <v>0.65</v>
      </c>
      <c r="U7" s="175" t="s">
        <v>506</v>
      </c>
      <c r="V7" s="105" t="s">
        <v>534</v>
      </c>
    </row>
    <row r="8" spans="2:22">
      <c r="B8" s="105" t="s">
        <v>510</v>
      </c>
      <c r="C8" s="105" t="str">
        <f>CONCATENATE(VLOOKUP('Perpetual Pricing'!J$1,XE!A3:I22,9,FALSE),'Perpetual Pricing'!$J$2)</f>
        <v>AStandard</v>
      </c>
      <c r="D8" s="105">
        <f>VLOOKUP($C$8,$J$6:$Q$16,4,FALSE)</f>
        <v>1</v>
      </c>
      <c r="E8" s="105">
        <f>VLOOKUP($C$8,$J$6:$Q$16,5,FALSE)</f>
        <v>0.8</v>
      </c>
      <c r="F8" s="105">
        <f>VLOOKUP($C$8,$J$6:$Q$16,6,FALSE)</f>
        <v>0.75</v>
      </c>
      <c r="G8" s="105">
        <f>VLOOKUP($C$8,$J$6:$Q$16,7,FALSE)</f>
        <v>0.7</v>
      </c>
      <c r="H8" s="105">
        <f>VLOOKUP($C$8,$J$6:$Q$16,8,FALSE)</f>
        <v>0.7</v>
      </c>
      <c r="J8" s="175" t="str">
        <f t="shared" si="0"/>
        <v/>
      </c>
      <c r="K8" s="173"/>
      <c r="U8" s="175" t="s">
        <v>507</v>
      </c>
      <c r="V8" s="105" t="s">
        <v>534</v>
      </c>
    </row>
    <row r="9" spans="2:22">
      <c r="B9" s="105" t="s">
        <v>513</v>
      </c>
      <c r="C9" s="105" t="str">
        <f>CONCATENATE(VLOOKUP('Perpetual Pricing'!J$1,XE!A3:I22,9,FALSE),"Standard")</f>
        <v>AStandard</v>
      </c>
      <c r="D9" s="105">
        <f>VLOOKUP($C$9,$J$6:$Q$16,4,FALSE)</f>
        <v>1</v>
      </c>
      <c r="E9" s="105">
        <f>VLOOKUP($C$9,$J$6:$Q$16,5,FALSE)</f>
        <v>0.8</v>
      </c>
      <c r="F9" s="105">
        <f>VLOOKUP($C$9,$J$6:$Q$16,6,FALSE)</f>
        <v>0.75</v>
      </c>
      <c r="G9" s="105">
        <f>VLOOKUP($C$9,$J$6:$Q$16,7,FALSE)</f>
        <v>0.7</v>
      </c>
      <c r="H9" s="105">
        <f>VLOOKUP($C$9,$J$6:$Q$16,8,FALSE)</f>
        <v>0.7</v>
      </c>
      <c r="J9" s="179" t="str">
        <f t="shared" si="0"/>
        <v>BStandard</v>
      </c>
      <c r="K9" s="180" t="s">
        <v>27</v>
      </c>
      <c r="L9" s="181" t="s">
        <v>528</v>
      </c>
      <c r="M9" s="181">
        <v>1</v>
      </c>
      <c r="N9" s="181">
        <v>0.8</v>
      </c>
      <c r="O9" s="181">
        <v>0.75</v>
      </c>
      <c r="P9" s="181">
        <v>0.7</v>
      </c>
      <c r="Q9" s="181">
        <v>0.65</v>
      </c>
      <c r="U9" s="175" t="s">
        <v>508</v>
      </c>
      <c r="V9" s="105" t="s">
        <v>534</v>
      </c>
    </row>
    <row r="10" spans="2:22">
      <c r="J10" s="179" t="str">
        <f t="shared" si="0"/>
        <v>BGov/Edu/NonProfit</v>
      </c>
      <c r="K10" s="180" t="s">
        <v>27</v>
      </c>
      <c r="L10" s="181" t="s">
        <v>531</v>
      </c>
      <c r="M10" s="181">
        <v>1</v>
      </c>
      <c r="N10" s="181">
        <v>0.75</v>
      </c>
      <c r="O10" s="181">
        <v>0.7</v>
      </c>
      <c r="P10" s="181">
        <v>0.65</v>
      </c>
      <c r="Q10" s="181">
        <v>0.65</v>
      </c>
    </row>
    <row r="11" spans="2:22">
      <c r="J11" s="175" t="str">
        <f t="shared" si="0"/>
        <v/>
      </c>
      <c r="K11" s="173"/>
    </row>
    <row r="12" spans="2:22">
      <c r="J12" s="182" t="str">
        <f t="shared" si="0"/>
        <v>CStandard</v>
      </c>
      <c r="K12" s="183" t="s">
        <v>33</v>
      </c>
      <c r="L12" s="184" t="s">
        <v>528</v>
      </c>
      <c r="M12" s="184">
        <v>1</v>
      </c>
      <c r="N12" s="184">
        <v>0.8</v>
      </c>
      <c r="O12" s="184">
        <v>0.75</v>
      </c>
      <c r="P12" s="184">
        <v>0.7</v>
      </c>
      <c r="Q12" s="184">
        <v>1</v>
      </c>
    </row>
    <row r="13" spans="2:22">
      <c r="J13" s="182" t="str">
        <f t="shared" si="0"/>
        <v>CGov/Edu/NonProfit</v>
      </c>
      <c r="K13" s="183" t="s">
        <v>33</v>
      </c>
      <c r="L13" s="184" t="s">
        <v>531</v>
      </c>
      <c r="M13" s="184">
        <v>1</v>
      </c>
      <c r="N13" s="184">
        <v>1</v>
      </c>
      <c r="O13" s="184">
        <v>1</v>
      </c>
      <c r="P13" s="184">
        <v>1</v>
      </c>
      <c r="Q13" s="184">
        <v>1</v>
      </c>
    </row>
    <row r="14" spans="2:22">
      <c r="J14" s="175" t="str">
        <f t="shared" si="0"/>
        <v/>
      </c>
      <c r="K14" s="173"/>
    </row>
    <row r="15" spans="2:22">
      <c r="J15" s="185" t="str">
        <f t="shared" si="0"/>
        <v>DStandard</v>
      </c>
      <c r="K15" s="186" t="s">
        <v>512</v>
      </c>
      <c r="L15" s="187" t="s">
        <v>528</v>
      </c>
      <c r="M15" s="187">
        <v>1</v>
      </c>
      <c r="N15" s="187">
        <v>1</v>
      </c>
      <c r="O15" s="187">
        <v>1</v>
      </c>
      <c r="P15" s="187">
        <v>1</v>
      </c>
      <c r="Q15" s="187">
        <v>1</v>
      </c>
    </row>
    <row r="16" spans="2:22">
      <c r="J16" s="185" t="str">
        <f>CONCATENATE(K16,L16)</f>
        <v>DGov/Edu/NonProfit</v>
      </c>
      <c r="K16" s="186" t="s">
        <v>512</v>
      </c>
      <c r="L16" s="187" t="s">
        <v>531</v>
      </c>
      <c r="M16" s="187">
        <v>1</v>
      </c>
      <c r="N16" s="187">
        <v>1</v>
      </c>
      <c r="O16" s="187">
        <v>1</v>
      </c>
      <c r="P16" s="187">
        <v>1</v>
      </c>
      <c r="Q16" s="187">
        <v>1</v>
      </c>
    </row>
    <row r="32" spans="4:8">
      <c r="D32" s="173"/>
      <c r="E32" s="173"/>
      <c r="F32" s="173"/>
      <c r="G32" s="173"/>
      <c r="H32" s="173"/>
    </row>
    <row r="33" spans="4:8">
      <c r="D33" s="188"/>
      <c r="E33" s="188"/>
      <c r="F33" s="188"/>
      <c r="G33" s="188"/>
      <c r="H33" s="188"/>
    </row>
    <row r="34" spans="4:8">
      <c r="D34" s="188"/>
      <c r="E34" s="188"/>
      <c r="F34" s="188"/>
      <c r="G34" s="188"/>
      <c r="H34" s="188"/>
    </row>
  </sheetData>
  <sheetProtection selectLockedCells="1" selectUn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615"/>
  <sheetViews>
    <sheetView workbookViewId="0">
      <selection activeCell="A200" sqref="A200"/>
    </sheetView>
  </sheetViews>
  <sheetFormatPr baseColWidth="10" defaultColWidth="9.140625" defaultRowHeight="12.75"/>
  <cols>
    <col min="1" max="1" width="154.140625" style="89" customWidth="1"/>
    <col min="2" max="2" width="22.5703125" customWidth="1"/>
  </cols>
  <sheetData>
    <row r="1" spans="1:2" ht="23.25">
      <c r="A1" s="101" t="s">
        <v>489</v>
      </c>
      <c r="B1" s="101" t="s">
        <v>537</v>
      </c>
    </row>
    <row r="2" spans="1:2">
      <c r="A2" s="102" t="s">
        <v>539</v>
      </c>
    </row>
    <row r="3" spans="1:2">
      <c r="A3" s="102" t="s">
        <v>0</v>
      </c>
    </row>
    <row r="4" spans="1:2">
      <c r="A4" s="102" t="s">
        <v>468</v>
      </c>
    </row>
    <row r="5" spans="1:2">
      <c r="A5" s="102" t="s">
        <v>292</v>
      </c>
    </row>
    <row r="6" spans="1:2">
      <c r="A6" s="102" t="s">
        <v>485</v>
      </c>
    </row>
    <row r="7" spans="1:2">
      <c r="A7" s="102" t="s">
        <v>43</v>
      </c>
    </row>
    <row r="8" spans="1:2">
      <c r="A8" s="102" t="s">
        <v>294</v>
      </c>
    </row>
    <row r="9" spans="1:2">
      <c r="A9" s="102" t="s">
        <v>90</v>
      </c>
    </row>
    <row r="10" spans="1:2" ht="15.75" customHeight="1">
      <c r="A10" s="102" t="s">
        <v>278</v>
      </c>
    </row>
    <row r="11" spans="1:2" ht="12.75" customHeight="1">
      <c r="A11" s="102" t="s">
        <v>293</v>
      </c>
    </row>
    <row r="12" spans="1:2">
      <c r="A12" s="102" t="s">
        <v>91</v>
      </c>
    </row>
    <row r="13" spans="1:2">
      <c r="A13" s="102" t="s">
        <v>436</v>
      </c>
    </row>
    <row r="14" spans="1:2">
      <c r="A14" s="102" t="s">
        <v>215</v>
      </c>
    </row>
    <row r="15" spans="1:2">
      <c r="A15" s="103"/>
    </row>
    <row r="16" spans="1:2">
      <c r="A16" s="102" t="s">
        <v>80</v>
      </c>
    </row>
    <row r="17" spans="1:1" ht="12.75" customHeight="1">
      <c r="A17" s="102" t="s">
        <v>114</v>
      </c>
    </row>
    <row r="18" spans="1:1">
      <c r="A18" s="102" t="s">
        <v>10</v>
      </c>
    </row>
    <row r="19" spans="1:1">
      <c r="A19" s="102" t="s">
        <v>11</v>
      </c>
    </row>
    <row r="20" spans="1:1">
      <c r="A20" s="102" t="s">
        <v>2</v>
      </c>
    </row>
    <row r="21" spans="1:1">
      <c r="A21" s="102" t="s">
        <v>493</v>
      </c>
    </row>
    <row r="22" spans="1:1">
      <c r="A22" s="102" t="s">
        <v>182</v>
      </c>
    </row>
    <row r="23" spans="1:1">
      <c r="A23" s="102" t="s">
        <v>8</v>
      </c>
    </row>
    <row r="24" spans="1:1">
      <c r="A24" s="102" t="s">
        <v>189</v>
      </c>
    </row>
    <row r="25" spans="1:1">
      <c r="A25" s="102" t="s">
        <v>192</v>
      </c>
    </row>
    <row r="26" spans="1:1" ht="15.75" customHeight="1">
      <c r="A26" s="102" t="s">
        <v>186</v>
      </c>
    </row>
    <row r="27" spans="1:1" ht="12.75" customHeight="1">
      <c r="A27" s="102" t="s">
        <v>183</v>
      </c>
    </row>
    <row r="28" spans="1:1">
      <c r="A28" s="102" t="s">
        <v>179</v>
      </c>
    </row>
    <row r="29" spans="1:1">
      <c r="A29" s="102" t="s">
        <v>206</v>
      </c>
    </row>
    <row r="30" spans="1:1" ht="12.75" customHeight="1">
      <c r="A30" s="102" t="s">
        <v>209</v>
      </c>
    </row>
    <row r="31" spans="1:1">
      <c r="A31" s="102" t="s">
        <v>203</v>
      </c>
    </row>
    <row r="32" spans="1:1">
      <c r="A32" s="102" t="s">
        <v>200</v>
      </c>
    </row>
    <row r="33" spans="1:1">
      <c r="A33" s="102" t="s">
        <v>197</v>
      </c>
    </row>
    <row r="34" spans="1:1">
      <c r="A34" s="102" t="s">
        <v>195</v>
      </c>
    </row>
    <row r="35" spans="1:1">
      <c r="A35" s="102" t="s">
        <v>558</v>
      </c>
    </row>
    <row r="36" spans="1:1">
      <c r="A36" s="102" t="s">
        <v>177</v>
      </c>
    </row>
    <row r="37" spans="1:1">
      <c r="A37" s="102" t="s">
        <v>499</v>
      </c>
    </row>
    <row r="38" spans="1:1">
      <c r="A38" s="102" t="s">
        <v>213</v>
      </c>
    </row>
    <row r="39" spans="1:1">
      <c r="A39" s="102" t="s">
        <v>40</v>
      </c>
    </row>
    <row r="40" spans="1:1" ht="12.75" customHeight="1">
      <c r="A40" s="102" t="s">
        <v>4</v>
      </c>
    </row>
    <row r="41" spans="1:1">
      <c r="A41" s="102" t="s">
        <v>314</v>
      </c>
    </row>
    <row r="42" spans="1:1">
      <c r="A42" s="102" t="s">
        <v>216</v>
      </c>
    </row>
    <row r="43" spans="1:1">
      <c r="A43" s="102" t="s">
        <v>13</v>
      </c>
    </row>
    <row r="44" spans="1:1">
      <c r="A44" s="102" t="s">
        <v>437</v>
      </c>
    </row>
    <row r="45" spans="1:1">
      <c r="A45" s="102" t="s">
        <v>178</v>
      </c>
    </row>
    <row r="46" spans="1:1">
      <c r="A46" s="102" t="s">
        <v>12</v>
      </c>
    </row>
    <row r="47" spans="1:1" ht="12.75" customHeight="1">
      <c r="A47" s="102" t="s">
        <v>103</v>
      </c>
    </row>
    <row r="48" spans="1:1">
      <c r="A48" s="102" t="s">
        <v>532</v>
      </c>
    </row>
    <row r="49" spans="1:1">
      <c r="A49" s="102" t="s">
        <v>533</v>
      </c>
    </row>
    <row r="50" spans="1:1" ht="12.75" customHeight="1">
      <c r="A50" s="102" t="s">
        <v>9</v>
      </c>
    </row>
    <row r="51" spans="1:1">
      <c r="A51" s="102" t="s">
        <v>176</v>
      </c>
    </row>
    <row r="52" spans="1:1">
      <c r="A52" s="102" t="s">
        <v>494</v>
      </c>
    </row>
    <row r="53" spans="1:1">
      <c r="A53" s="102" t="s">
        <v>429</v>
      </c>
    </row>
    <row r="54" spans="1:1">
      <c r="A54" s="102" t="s">
        <v>441</v>
      </c>
    </row>
    <row r="55" spans="1:1" ht="15.75" customHeight="1">
      <c r="A55" s="102" t="s">
        <v>484</v>
      </c>
    </row>
    <row r="56" spans="1:1" ht="12.75" customHeight="1">
      <c r="A56" s="102" t="s">
        <v>445</v>
      </c>
    </row>
    <row r="57" spans="1:1">
      <c r="A57" s="102" t="s">
        <v>390</v>
      </c>
    </row>
    <row r="58" spans="1:1">
      <c r="A58" s="102" t="s">
        <v>400</v>
      </c>
    </row>
    <row r="59" spans="1:1">
      <c r="A59" s="102" t="s">
        <v>395</v>
      </c>
    </row>
    <row r="60" spans="1:1">
      <c r="A60" s="102" t="s">
        <v>422</v>
      </c>
    </row>
    <row r="61" spans="1:1">
      <c r="A61" s="102" t="s">
        <v>403</v>
      </c>
    </row>
    <row r="62" spans="1:1">
      <c r="A62" s="102" t="s">
        <v>425</v>
      </c>
    </row>
    <row r="63" spans="1:1">
      <c r="A63" s="102" t="s">
        <v>214</v>
      </c>
    </row>
    <row r="64" spans="1:1">
      <c r="A64" s="102" t="s">
        <v>439</v>
      </c>
    </row>
    <row r="65" spans="1:1">
      <c r="A65" s="102" t="s">
        <v>432</v>
      </c>
    </row>
    <row r="66" spans="1:1">
      <c r="A66" s="102" t="s">
        <v>443</v>
      </c>
    </row>
    <row r="67" spans="1:1" ht="15.75" customHeight="1">
      <c r="A67" s="102" t="s">
        <v>457</v>
      </c>
    </row>
    <row r="68" spans="1:1" ht="12.75" customHeight="1">
      <c r="A68" s="102" t="s">
        <v>458</v>
      </c>
    </row>
    <row r="69" spans="1:1">
      <c r="A69" s="102" t="s">
        <v>459</v>
      </c>
    </row>
    <row r="70" spans="1:1">
      <c r="A70" s="102" t="s">
        <v>460</v>
      </c>
    </row>
    <row r="71" spans="1:1" ht="12.75" customHeight="1">
      <c r="A71" s="102" t="s">
        <v>461</v>
      </c>
    </row>
    <row r="72" spans="1:1">
      <c r="A72" s="102" t="s">
        <v>462</v>
      </c>
    </row>
    <row r="73" spans="1:1">
      <c r="A73" s="102" t="s">
        <v>463</v>
      </c>
    </row>
    <row r="74" spans="1:1">
      <c r="A74" s="102" t="s">
        <v>464</v>
      </c>
    </row>
    <row r="75" spans="1:1">
      <c r="A75" s="102" t="s">
        <v>465</v>
      </c>
    </row>
    <row r="76" spans="1:1">
      <c r="A76" s="102" t="s">
        <v>466</v>
      </c>
    </row>
    <row r="77" spans="1:1">
      <c r="A77" s="102" t="s">
        <v>448</v>
      </c>
    </row>
    <row r="78" spans="1:1">
      <c r="A78" s="102" t="s">
        <v>467</v>
      </c>
    </row>
    <row r="79" spans="1:1">
      <c r="A79" s="102" t="s">
        <v>449</v>
      </c>
    </row>
    <row r="80" spans="1:1">
      <c r="A80" s="102" t="s">
        <v>450</v>
      </c>
    </row>
    <row r="81" spans="1:1" ht="12.75" customHeight="1">
      <c r="A81" s="102" t="s">
        <v>451</v>
      </c>
    </row>
    <row r="82" spans="1:1">
      <c r="A82" s="102" t="s">
        <v>452</v>
      </c>
    </row>
    <row r="83" spans="1:1">
      <c r="A83" s="102" t="s">
        <v>453</v>
      </c>
    </row>
    <row r="84" spans="1:1" ht="12.75" customHeight="1">
      <c r="A84" s="102" t="s">
        <v>454</v>
      </c>
    </row>
    <row r="85" spans="1:1" ht="12.75" customHeight="1">
      <c r="A85" s="102" t="s">
        <v>455</v>
      </c>
    </row>
    <row r="86" spans="1:1">
      <c r="A86" s="102" t="s">
        <v>456</v>
      </c>
    </row>
    <row r="87" spans="1:1">
      <c r="A87" s="102" t="s">
        <v>411</v>
      </c>
    </row>
    <row r="88" spans="1:1">
      <c r="A88" s="102" t="s">
        <v>406</v>
      </c>
    </row>
    <row r="89" spans="1:1">
      <c r="A89" s="102" t="s">
        <v>416</v>
      </c>
    </row>
    <row r="90" spans="1:1">
      <c r="A90" s="102" t="s">
        <v>419</v>
      </c>
    </row>
    <row r="91" spans="1:1">
      <c r="A91" s="102" t="s">
        <v>447</v>
      </c>
    </row>
    <row r="92" spans="1:1">
      <c r="A92" s="102" t="s">
        <v>61</v>
      </c>
    </row>
    <row r="93" spans="1:1">
      <c r="A93" s="102" t="s">
        <v>130</v>
      </c>
    </row>
    <row r="94" spans="1:1" ht="12.75" customHeight="1">
      <c r="A94" s="102" t="s">
        <v>217</v>
      </c>
    </row>
    <row r="95" spans="1:1">
      <c r="A95" s="102" t="s">
        <v>218</v>
      </c>
    </row>
    <row r="96" spans="1:1">
      <c r="A96" s="102" t="s">
        <v>102</v>
      </c>
    </row>
    <row r="97" spans="1:1" ht="12.75" customHeight="1">
      <c r="A97" s="102" t="s">
        <v>113</v>
      </c>
    </row>
    <row r="98" spans="1:1" ht="12.75" customHeight="1">
      <c r="A98" s="102" t="s">
        <v>104</v>
      </c>
    </row>
    <row r="99" spans="1:1">
      <c r="A99" s="102" t="s">
        <v>226</v>
      </c>
    </row>
    <row r="100" spans="1:1">
      <c r="A100" s="102" t="s">
        <v>109</v>
      </c>
    </row>
    <row r="101" spans="1:1">
      <c r="A101" s="102" t="s">
        <v>388</v>
      </c>
    </row>
    <row r="102" spans="1:1">
      <c r="A102" s="102" t="s">
        <v>174</v>
      </c>
    </row>
    <row r="103" spans="1:1">
      <c r="A103" s="102" t="s">
        <v>78</v>
      </c>
    </row>
    <row r="104" spans="1:1" ht="12.75" customHeight="1">
      <c r="A104" s="102" t="s">
        <v>1</v>
      </c>
    </row>
    <row r="105" spans="1:1">
      <c r="A105" s="102" t="s">
        <v>221</v>
      </c>
    </row>
    <row r="106" spans="1:1">
      <c r="A106" s="102" t="s">
        <v>222</v>
      </c>
    </row>
    <row r="107" spans="1:1" ht="12.75" customHeight="1">
      <c r="A107" s="102" t="s">
        <v>279</v>
      </c>
    </row>
    <row r="108" spans="1:1" ht="12.75" customHeight="1">
      <c r="A108" s="102" t="s">
        <v>44</v>
      </c>
    </row>
    <row r="109" spans="1:1" ht="12.75" customHeight="1">
      <c r="A109" s="102" t="s">
        <v>297</v>
      </c>
    </row>
    <row r="110" spans="1:1" ht="12.75" customHeight="1">
      <c r="A110" s="102" t="s">
        <v>308</v>
      </c>
    </row>
    <row r="111" spans="1:1" ht="12.75" customHeight="1">
      <c r="A111" s="102" t="s">
        <v>318</v>
      </c>
    </row>
    <row r="112" spans="1:1" ht="12.75" customHeight="1">
      <c r="A112" s="102" t="s">
        <v>298</v>
      </c>
    </row>
    <row r="113" spans="1:1" ht="12.75" customHeight="1">
      <c r="A113" s="102" t="s">
        <v>322</v>
      </c>
    </row>
    <row r="114" spans="1:1">
      <c r="A114" s="102" t="s">
        <v>303</v>
      </c>
    </row>
    <row r="115" spans="1:1">
      <c r="A115" s="102" t="s">
        <v>326</v>
      </c>
    </row>
    <row r="116" spans="1:1">
      <c r="A116" s="102" t="s">
        <v>313</v>
      </c>
    </row>
    <row r="117" spans="1:1">
      <c r="A117" s="102" t="s">
        <v>330</v>
      </c>
    </row>
    <row r="118" spans="1:1">
      <c r="A118" s="102" t="s">
        <v>341</v>
      </c>
    </row>
    <row r="119" spans="1:1" ht="12.75" customHeight="1">
      <c r="A119" s="102" t="s">
        <v>350</v>
      </c>
    </row>
    <row r="120" spans="1:1" ht="12.75" customHeight="1">
      <c r="A120" s="102" t="s">
        <v>331</v>
      </c>
    </row>
    <row r="121" spans="1:1" ht="12.75" customHeight="1">
      <c r="A121" s="102" t="s">
        <v>354</v>
      </c>
    </row>
    <row r="122" spans="1:1" ht="12.75" customHeight="1">
      <c r="A122" s="102" t="s">
        <v>336</v>
      </c>
    </row>
    <row r="123" spans="1:1" ht="12.75" customHeight="1">
      <c r="A123" s="102" t="s">
        <v>358</v>
      </c>
    </row>
    <row r="124" spans="1:1" ht="12.75" customHeight="1">
      <c r="A124" s="102" t="s">
        <v>346</v>
      </c>
    </row>
    <row r="125" spans="1:1" ht="12.75" customHeight="1">
      <c r="A125" s="102" t="s">
        <v>219</v>
      </c>
    </row>
    <row r="126" spans="1:1" ht="12.75" customHeight="1">
      <c r="A126" s="102" t="s">
        <v>154</v>
      </c>
    </row>
    <row r="127" spans="1:1" ht="12.75" customHeight="1">
      <c r="A127" s="102" t="s">
        <v>220</v>
      </c>
    </row>
    <row r="128" spans="1:1" ht="12.75" customHeight="1">
      <c r="A128" s="102" t="s">
        <v>125</v>
      </c>
    </row>
    <row r="129" spans="1:1">
      <c r="A129" s="102" t="s">
        <v>120</v>
      </c>
    </row>
    <row r="130" spans="1:1">
      <c r="A130" s="102" t="s">
        <v>119</v>
      </c>
    </row>
    <row r="131" spans="1:1">
      <c r="A131" s="102" t="s">
        <v>227</v>
      </c>
    </row>
    <row r="132" spans="1:1">
      <c r="A132" s="102" t="s">
        <v>92</v>
      </c>
    </row>
    <row r="133" spans="1:1">
      <c r="A133" s="102" t="s">
        <v>223</v>
      </c>
    </row>
    <row r="134" spans="1:1">
      <c r="A134" s="102" t="s">
        <v>97</v>
      </c>
    </row>
    <row r="135" spans="1:1" ht="12.75" customHeight="1">
      <c r="A135" s="102" t="s">
        <v>225</v>
      </c>
    </row>
    <row r="136" spans="1:1">
      <c r="A136" s="102" t="s">
        <v>280</v>
      </c>
    </row>
    <row r="137" spans="1:1">
      <c r="A137" s="102" t="s">
        <v>285</v>
      </c>
    </row>
    <row r="138" spans="1:1">
      <c r="A138" s="102" t="s">
        <v>368</v>
      </c>
    </row>
    <row r="139" spans="1:1" ht="12.75" customHeight="1">
      <c r="A139" s="102" t="s">
        <v>373</v>
      </c>
    </row>
    <row r="140" spans="1:1" ht="12.75" customHeight="1">
      <c r="A140" s="102" t="s">
        <v>378</v>
      </c>
    </row>
    <row r="141" spans="1:1">
      <c r="A141" s="102" t="s">
        <v>383</v>
      </c>
    </row>
    <row r="142" spans="1:1">
      <c r="A142" s="102" t="s">
        <v>369</v>
      </c>
    </row>
    <row r="143" spans="1:1">
      <c r="A143" s="102" t="s">
        <v>224</v>
      </c>
    </row>
    <row r="144" spans="1:1">
      <c r="A144" s="102" t="s">
        <v>228</v>
      </c>
    </row>
    <row r="145" spans="1:1">
      <c r="A145" s="102" t="s">
        <v>233</v>
      </c>
    </row>
    <row r="146" spans="1:1">
      <c r="A146" s="102" t="s">
        <v>238</v>
      </c>
    </row>
    <row r="147" spans="1:1">
      <c r="A147" s="102" t="s">
        <v>243</v>
      </c>
    </row>
    <row r="148" spans="1:1" ht="12.75" customHeight="1">
      <c r="A148" s="102" t="s">
        <v>229</v>
      </c>
    </row>
    <row r="149" spans="1:1">
      <c r="A149" s="102" t="s">
        <v>263</v>
      </c>
    </row>
    <row r="150" spans="1:1">
      <c r="A150" s="102" t="s">
        <v>248</v>
      </c>
    </row>
    <row r="151" spans="1:1">
      <c r="A151" s="102" t="s">
        <v>268</v>
      </c>
    </row>
    <row r="152" spans="1:1">
      <c r="A152" s="102" t="s">
        <v>253</v>
      </c>
    </row>
    <row r="153" spans="1:1">
      <c r="A153" s="102" t="s">
        <v>273</v>
      </c>
    </row>
    <row r="154" spans="1:1" ht="15.75" customHeight="1">
      <c r="A154" s="102" t="s">
        <v>258</v>
      </c>
    </row>
    <row r="155" spans="1:1">
      <c r="A155" s="102" t="s">
        <v>428</v>
      </c>
    </row>
    <row r="156" spans="1:1">
      <c r="A156" s="102" t="s">
        <v>483</v>
      </c>
    </row>
    <row r="157" spans="1:1">
      <c r="A157" s="102" t="s">
        <v>500</v>
      </c>
    </row>
    <row r="158" spans="1:1">
      <c r="A158" s="102" t="s">
        <v>5</v>
      </c>
    </row>
    <row r="159" spans="1:1">
      <c r="A159" s="102" t="s">
        <v>290</v>
      </c>
    </row>
    <row r="160" spans="1:1">
      <c r="A160" s="102" t="s">
        <v>41</v>
      </c>
    </row>
    <row r="161" spans="1:6">
      <c r="A161" s="102" t="s">
        <v>38</v>
      </c>
    </row>
    <row r="162" spans="1:6">
      <c r="A162" s="102" t="s">
        <v>175</v>
      </c>
    </row>
    <row r="163" spans="1:6">
      <c r="A163" s="103" t="s">
        <v>497</v>
      </c>
    </row>
    <row r="164" spans="1:6">
      <c r="A164" s="102" t="s">
        <v>496</v>
      </c>
    </row>
    <row r="165" spans="1:6">
      <c r="A165" s="102" t="s">
        <v>498</v>
      </c>
    </row>
    <row r="166" spans="1:6">
      <c r="A166" s="102" t="s">
        <v>85</v>
      </c>
    </row>
    <row r="167" spans="1:6">
      <c r="A167" s="102" t="s">
        <v>84</v>
      </c>
    </row>
    <row r="168" spans="1:6">
      <c r="A168" s="102" t="s">
        <v>495</v>
      </c>
    </row>
    <row r="169" spans="1:6">
      <c r="A169" s="102" t="s">
        <v>501</v>
      </c>
    </row>
    <row r="170" spans="1:6">
      <c r="A170" s="102" t="s">
        <v>502</v>
      </c>
    </row>
    <row r="171" spans="1:6">
      <c r="A171" s="102" t="s">
        <v>176</v>
      </c>
      <c r="B171" s="102"/>
      <c r="C171" s="102"/>
      <c r="D171" s="102"/>
      <c r="E171" s="102"/>
      <c r="F171" s="102"/>
    </row>
    <row r="172" spans="1:6">
      <c r="A172" s="102" t="s">
        <v>559</v>
      </c>
      <c r="B172" s="102"/>
      <c r="C172" s="102"/>
      <c r="D172" s="102"/>
      <c r="E172" s="102"/>
      <c r="F172" s="102"/>
    </row>
    <row r="173" spans="1:6">
      <c r="A173" s="102"/>
      <c r="B173" s="102"/>
      <c r="C173" s="102"/>
      <c r="D173" s="102"/>
      <c r="E173" s="102"/>
      <c r="F173" s="102"/>
    </row>
    <row r="174" spans="1:6">
      <c r="A174" s="102"/>
      <c r="B174" s="102"/>
      <c r="C174" s="102"/>
      <c r="D174" s="102"/>
      <c r="E174" s="102"/>
      <c r="F174" s="102"/>
    </row>
    <row r="175" spans="1:6">
      <c r="A175" s="102"/>
      <c r="B175" s="102"/>
      <c r="C175" s="102"/>
      <c r="D175" s="102"/>
      <c r="E175" s="102"/>
      <c r="F175" s="102"/>
    </row>
    <row r="176" spans="1:6">
      <c r="A176" s="102"/>
      <c r="B176" s="102"/>
      <c r="C176" s="102"/>
      <c r="D176" s="102"/>
      <c r="E176" s="102"/>
      <c r="F176" s="102"/>
    </row>
    <row r="177" spans="1:6">
      <c r="A177" s="102"/>
      <c r="B177" s="102"/>
      <c r="C177" s="102"/>
      <c r="D177" s="102"/>
      <c r="E177" s="102"/>
      <c r="F177" s="102"/>
    </row>
    <row r="178" spans="1:6">
      <c r="A178" s="102"/>
      <c r="B178" s="102"/>
      <c r="C178" s="102"/>
      <c r="D178" s="102"/>
      <c r="E178" s="102"/>
      <c r="F178" s="102"/>
    </row>
    <row r="179" spans="1:6">
      <c r="A179" s="102"/>
      <c r="B179" s="102"/>
      <c r="C179" s="102"/>
      <c r="D179" s="102"/>
      <c r="E179" s="102"/>
      <c r="F179" s="102"/>
    </row>
    <row r="180" spans="1:6">
      <c r="A180" s="102"/>
      <c r="B180" s="102"/>
      <c r="C180" s="102"/>
      <c r="D180" s="102"/>
      <c r="E180" s="102"/>
      <c r="F180" s="102"/>
    </row>
    <row r="181" spans="1:6">
      <c r="A181" s="102"/>
      <c r="B181" s="102"/>
      <c r="C181" s="102"/>
      <c r="D181" s="102"/>
      <c r="E181" s="102"/>
      <c r="F181" s="102"/>
    </row>
    <row r="182" spans="1:6">
      <c r="A182" s="102"/>
      <c r="B182" s="102"/>
      <c r="C182" s="102"/>
      <c r="D182" s="102"/>
      <c r="E182" s="102"/>
      <c r="F182" s="102"/>
    </row>
    <row r="183" spans="1:6">
      <c r="A183" s="102"/>
      <c r="B183" s="102"/>
      <c r="C183" s="102"/>
      <c r="D183" s="102"/>
      <c r="E183" s="102"/>
      <c r="F183" s="102"/>
    </row>
    <row r="184" spans="1:6">
      <c r="A184" s="102"/>
      <c r="B184" s="102"/>
      <c r="C184" s="102"/>
      <c r="D184" s="102"/>
      <c r="E184" s="102"/>
      <c r="F184" s="102"/>
    </row>
    <row r="185" spans="1:6">
      <c r="A185" s="102"/>
      <c r="B185" s="102"/>
      <c r="C185" s="102"/>
      <c r="D185" s="102"/>
      <c r="E185" s="102"/>
      <c r="F185" s="102"/>
    </row>
    <row r="186" spans="1:6">
      <c r="A186" s="102"/>
      <c r="B186" s="102"/>
      <c r="C186" s="102"/>
      <c r="D186" s="102"/>
      <c r="E186" s="102"/>
      <c r="F186" s="102"/>
    </row>
    <row r="187" spans="1:6">
      <c r="A187" s="102"/>
      <c r="B187" s="102"/>
      <c r="C187" s="102"/>
      <c r="D187" s="102"/>
      <c r="E187" s="102"/>
      <c r="F187" s="102"/>
    </row>
    <row r="188" spans="1:6">
      <c r="A188" s="102"/>
      <c r="B188" s="102"/>
      <c r="C188" s="102"/>
      <c r="D188" s="102"/>
      <c r="E188" s="102"/>
      <c r="F188" s="102"/>
    </row>
    <row r="189" spans="1:6">
      <c r="A189" s="102"/>
      <c r="B189" s="102"/>
      <c r="C189" s="102"/>
      <c r="D189" s="102"/>
      <c r="E189" s="102"/>
      <c r="F189" s="102"/>
    </row>
    <row r="190" spans="1:6">
      <c r="A190" s="102"/>
      <c r="B190" s="102"/>
      <c r="C190" s="102"/>
      <c r="D190" s="102"/>
      <c r="E190" s="102"/>
      <c r="F190" s="102"/>
    </row>
    <row r="191" spans="1:6">
      <c r="A191" s="102"/>
      <c r="B191" s="102"/>
      <c r="C191" s="102"/>
      <c r="D191" s="102"/>
      <c r="E191" s="102"/>
      <c r="F191" s="102"/>
    </row>
    <row r="192" spans="1:6">
      <c r="A192" s="102"/>
      <c r="B192" s="102"/>
      <c r="C192" s="102"/>
      <c r="D192" s="102"/>
      <c r="E192" s="102"/>
      <c r="F192" s="102"/>
    </row>
    <row r="193" spans="1:6">
      <c r="A193" s="102"/>
      <c r="B193" s="102"/>
      <c r="C193" s="102"/>
      <c r="D193" s="102"/>
      <c r="E193" s="102"/>
      <c r="F193" s="102"/>
    </row>
    <row r="194" spans="1:6">
      <c r="A194" s="102"/>
      <c r="B194" s="102"/>
      <c r="C194" s="102"/>
      <c r="D194" s="102"/>
      <c r="E194" s="102"/>
      <c r="F194" s="102"/>
    </row>
    <row r="195" spans="1:6">
      <c r="A195" s="102"/>
      <c r="B195" s="102"/>
      <c r="C195" s="102"/>
      <c r="D195" s="102"/>
      <c r="E195" s="102"/>
      <c r="F195" s="102"/>
    </row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</sheetData>
  <sheetProtection algorithmName="SHA-512" hashValue="UQ7yvf2Y07Tid+Y1vxAk6eorNnBearesnZdpfwL9JxQv5DqQjOoMzid6hfANN6sSmexqHUx6HAIPq5GtacmnnQ==" saltValue="Ij9BZqYjL+ygP7jWcfEHIg==" spinCount="100000" sheet="1" selectLockedCells="1" selectUnlockedCells="1"/>
  <sortState ref="A2:A194">
    <sortCondition ref="A2:A194"/>
  </sortState>
  <conditionalFormatting sqref="A2:A168">
    <cfRule type="duplicateValues" dxfId="0" priority="3"/>
  </conditionalFormatting>
  <pageMargins left="0.25" right="0.25" top="0.75" bottom="0.75" header="0.3" footer="0.3"/>
  <pageSetup scale="4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8</vt:i4>
      </vt:variant>
    </vt:vector>
  </HeadingPairs>
  <TitlesOfParts>
    <vt:vector size="14" baseType="lpstr">
      <vt:lpstr>Perpetual Pricing</vt:lpstr>
      <vt:lpstr>BASE</vt:lpstr>
      <vt:lpstr>XE</vt:lpstr>
      <vt:lpstr>Perpetual Pricing (2)</vt:lpstr>
      <vt:lpstr>PARTNERPROGRAM</vt:lpstr>
      <vt:lpstr>Phrasing</vt:lpstr>
      <vt:lpstr>BASE!Druckbereich</vt:lpstr>
      <vt:lpstr>'Perpetual Pricing'!Druckbereich</vt:lpstr>
      <vt:lpstr>'Perpetual Pricing (2)'!Druckbereich</vt:lpstr>
      <vt:lpstr>Phrasing!Druckbereich</vt:lpstr>
      <vt:lpstr>BASE!Z_61E95A56_DF17_4776_932B_CA2E16961691_.wvu.Rows</vt:lpstr>
      <vt:lpstr>'Perpetual Pricing'!Z_61E95A56_DF17_4776_932B_CA2E16961691_.wvu.Rows</vt:lpstr>
      <vt:lpstr>'Perpetual Pricing (2)'!Z_61E95A56_DF17_4776_932B_CA2E16961691_.wvu.Rows</vt:lpstr>
      <vt:lpstr>Phrasing!Z_61E95A56_DF17_4776_932B_CA2E16961691_.wvu.Rows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Angell</dc:creator>
  <cp:lastModifiedBy>Christian Herbort</cp:lastModifiedBy>
  <cp:lastPrinted>2017-06-08T17:21:50Z</cp:lastPrinted>
  <dcterms:created xsi:type="dcterms:W3CDTF">2016-04-07T18:38:25Z</dcterms:created>
  <dcterms:modified xsi:type="dcterms:W3CDTF">2017-12-07T08:48:15Z</dcterms:modified>
</cp:coreProperties>
</file>